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gco-034362\Administrativos\MATRIZ GCT\PRE-CONTRACTUAL\PAA 2026\PAA INVERSION\"/>
    </mc:Choice>
  </mc:AlternateContent>
  <xr:revisionPtr revIDLastSave="0" documentId="13_ncr:1_{C2595465-1E98-47CF-BFE9-E64A587D1F23}" xr6:coauthVersionLast="47" xr6:coauthVersionMax="47" xr10:uidLastSave="{00000000-0000-0000-0000-000000000000}"/>
  <bookViews>
    <workbookView xWindow="33210" yWindow="2025" windowWidth="21600" windowHeight="11295" tabRatio="704" xr2:uid="{1FA93B8D-6795-4D7D-BE73-DDC26BB462EF}"/>
  </bookViews>
  <sheets>
    <sheet name="Hoja1" sheetId="1" r:id="rId1"/>
    <sheet name="Hoja2" sheetId="4" r:id="rId2"/>
    <sheet name="Hoja3"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Hoja1!$A$7:$AK$229</definedName>
    <definedName name="_xlnm._FilterDatabase" localSheetId="1" hidden="1">Hoja2!$E$2:$J$168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8" i="1" l="1"/>
  <c r="M127" i="1"/>
  <c r="V126" i="1"/>
  <c r="U126" i="1"/>
  <c r="M126" i="1"/>
  <c r="V125" i="1"/>
  <c r="U125" i="1"/>
  <c r="M125" i="1"/>
  <c r="V124" i="1"/>
  <c r="U124" i="1"/>
  <c r="M124" i="1"/>
  <c r="V123" i="1"/>
  <c r="U123" i="1"/>
  <c r="M123" i="1"/>
  <c r="V122" i="1"/>
  <c r="U122" i="1"/>
  <c r="M122" i="1"/>
  <c r="U121" i="1"/>
  <c r="V121" i="1" s="1"/>
  <c r="M121" i="1"/>
  <c r="B121" i="1"/>
  <c r="U120" i="1"/>
  <c r="V120" i="1" s="1"/>
  <c r="M120" i="1"/>
  <c r="B120" i="1"/>
  <c r="U119" i="1"/>
  <c r="V119" i="1" s="1"/>
  <c r="M119" i="1"/>
  <c r="B119" i="1"/>
  <c r="U118" i="1"/>
  <c r="V118" i="1" s="1"/>
  <c r="M118" i="1"/>
  <c r="U117" i="1"/>
  <c r="V117" i="1" s="1"/>
  <c r="M117" i="1"/>
  <c r="I117" i="1"/>
  <c r="U116" i="1"/>
  <c r="V116" i="1" s="1"/>
  <c r="M116" i="1"/>
  <c r="I116" i="1"/>
  <c r="M115" i="1"/>
  <c r="I115" i="1"/>
  <c r="G115" i="1"/>
  <c r="U115" i="1" s="1"/>
  <c r="V115" i="1" s="1"/>
  <c r="B115" i="1"/>
  <c r="M114" i="1"/>
  <c r="I114" i="1"/>
  <c r="G114" i="1"/>
  <c r="U114" i="1" s="1"/>
  <c r="V114" i="1" s="1"/>
  <c r="B114" i="1"/>
  <c r="M113" i="1"/>
  <c r="I113" i="1"/>
  <c r="G113" i="1"/>
  <c r="U113" i="1" s="1"/>
  <c r="V113" i="1" s="1"/>
  <c r="B113" i="1"/>
  <c r="U112" i="1"/>
  <c r="V112" i="1" s="1"/>
  <c r="M112" i="1"/>
  <c r="I112" i="1"/>
  <c r="G112" i="1"/>
  <c r="B112" i="1"/>
  <c r="V111" i="1"/>
  <c r="U111" i="1"/>
  <c r="M111" i="1"/>
  <c r="I111" i="1"/>
  <c r="B111" i="1"/>
  <c r="V110" i="1"/>
  <c r="U110" i="1"/>
  <c r="M110" i="1"/>
  <c r="I110" i="1"/>
  <c r="B110" i="1"/>
  <c r="V109" i="1"/>
  <c r="U109" i="1"/>
  <c r="M109" i="1"/>
  <c r="I109" i="1"/>
  <c r="B109" i="1"/>
  <c r="V108" i="1"/>
  <c r="U108" i="1"/>
  <c r="M108" i="1"/>
  <c r="I108" i="1"/>
  <c r="B108" i="1"/>
  <c r="V107" i="1"/>
  <c r="U107" i="1"/>
  <c r="M107" i="1"/>
  <c r="I107" i="1"/>
  <c r="B107" i="1"/>
  <c r="V106" i="1"/>
  <c r="U106" i="1"/>
  <c r="M106" i="1"/>
  <c r="I106" i="1"/>
  <c r="B106" i="1"/>
  <c r="V105" i="1"/>
  <c r="U105" i="1"/>
  <c r="M105" i="1"/>
  <c r="I105" i="1"/>
  <c r="B105" i="1"/>
  <c r="V104" i="1"/>
  <c r="U104" i="1"/>
  <c r="M104" i="1"/>
  <c r="I104" i="1"/>
  <c r="B104" i="1"/>
  <c r="U103" i="1"/>
  <c r="V103" i="1" s="1"/>
  <c r="M103" i="1"/>
  <c r="I103" i="1"/>
  <c r="B103" i="1"/>
  <c r="U102" i="1"/>
  <c r="V102" i="1" s="1"/>
  <c r="M102" i="1"/>
  <c r="I102" i="1"/>
  <c r="B102" i="1"/>
  <c r="U101" i="1"/>
  <c r="V101" i="1" s="1"/>
  <c r="M101" i="1"/>
  <c r="I101" i="1"/>
  <c r="B101" i="1"/>
  <c r="U100" i="1"/>
  <c r="V100" i="1" s="1"/>
  <c r="M100" i="1"/>
  <c r="I100" i="1"/>
  <c r="B100" i="1"/>
  <c r="U99" i="1"/>
  <c r="V99" i="1" s="1"/>
  <c r="M99" i="1"/>
  <c r="I99" i="1"/>
  <c r="B99" i="1"/>
  <c r="U98" i="1"/>
  <c r="V98" i="1" s="1"/>
  <c r="M98" i="1"/>
  <c r="I98" i="1"/>
  <c r="B98" i="1"/>
  <c r="U97" i="1"/>
  <c r="V97" i="1" s="1"/>
  <c r="M97" i="1"/>
  <c r="I97" i="1"/>
  <c r="B97" i="1"/>
  <c r="U96" i="1"/>
  <c r="V96" i="1" s="1"/>
  <c r="M96" i="1"/>
  <c r="I96" i="1"/>
  <c r="B96" i="1"/>
  <c r="U95" i="1"/>
  <c r="V95" i="1" s="1"/>
  <c r="M95" i="1"/>
  <c r="I95" i="1"/>
  <c r="B95" i="1"/>
  <c r="U94" i="1"/>
  <c r="V94" i="1" s="1"/>
  <c r="M94" i="1"/>
  <c r="I94" i="1"/>
  <c r="B94" i="1"/>
  <c r="U93" i="1"/>
  <c r="V93" i="1" s="1"/>
  <c r="M93" i="1"/>
  <c r="I93" i="1"/>
  <c r="B93" i="1"/>
  <c r="I172" i="1" l="1"/>
  <c r="B172" i="1"/>
  <c r="U174" i="1" l="1"/>
  <c r="V174" i="1" s="1"/>
  <c r="M174" i="1"/>
  <c r="I174" i="1"/>
  <c r="B174" i="1"/>
  <c r="U173" i="1"/>
  <c r="V173" i="1" s="1"/>
  <c r="M173" i="1"/>
  <c r="I173" i="1"/>
  <c r="B173" i="1"/>
  <c r="U172" i="1"/>
  <c r="V172" i="1" s="1"/>
  <c r="M172" i="1"/>
  <c r="U171" i="1"/>
  <c r="V171" i="1" s="1"/>
  <c r="M171" i="1"/>
  <c r="I171" i="1"/>
  <c r="B171" i="1"/>
  <c r="U170" i="1"/>
  <c r="V170" i="1" s="1"/>
  <c r="M170" i="1"/>
  <c r="I170" i="1"/>
  <c r="B170" i="1"/>
  <c r="U169" i="1"/>
  <c r="V169" i="1" s="1"/>
  <c r="I169" i="1"/>
  <c r="B169" i="1"/>
  <c r="U168" i="1"/>
  <c r="V168" i="1" s="1"/>
  <c r="M168" i="1"/>
  <c r="I168" i="1"/>
  <c r="B168" i="1"/>
  <c r="U167" i="1"/>
  <c r="V167" i="1" s="1"/>
  <c r="M167" i="1"/>
  <c r="I167" i="1"/>
  <c r="B167" i="1"/>
  <c r="U166" i="1"/>
  <c r="V166" i="1" s="1"/>
  <c r="M166" i="1"/>
  <c r="I166" i="1"/>
  <c r="B166" i="1"/>
  <c r="U165" i="1"/>
  <c r="V165" i="1" s="1"/>
  <c r="M165" i="1"/>
  <c r="I165" i="1"/>
  <c r="B165" i="1"/>
  <c r="U164" i="1"/>
  <c r="V164" i="1" s="1"/>
  <c r="M164" i="1"/>
  <c r="I164" i="1"/>
  <c r="B164" i="1"/>
  <c r="U163" i="1"/>
  <c r="V163" i="1" s="1"/>
  <c r="M163" i="1"/>
  <c r="I163" i="1"/>
  <c r="B163" i="1"/>
  <c r="U162" i="1"/>
  <c r="V162" i="1" s="1"/>
  <c r="M162" i="1"/>
  <c r="I162" i="1"/>
  <c r="B162" i="1"/>
  <c r="U161" i="1"/>
  <c r="V161" i="1" s="1"/>
  <c r="M161" i="1"/>
  <c r="I161" i="1"/>
  <c r="B161" i="1"/>
  <c r="U160" i="1"/>
  <c r="V160" i="1" s="1"/>
  <c r="M160" i="1"/>
  <c r="I160" i="1"/>
  <c r="B160" i="1"/>
  <c r="U159" i="1"/>
  <c r="V159" i="1" s="1"/>
  <c r="M159" i="1"/>
  <c r="I159" i="1"/>
  <c r="B159" i="1"/>
  <c r="U158" i="1"/>
  <c r="V158" i="1" s="1"/>
  <c r="M158" i="1"/>
  <c r="I158" i="1"/>
  <c r="B158" i="1"/>
  <c r="U157" i="1"/>
  <c r="V157" i="1" s="1"/>
  <c r="M157" i="1"/>
  <c r="I157" i="1"/>
  <c r="B157" i="1"/>
  <c r="U156" i="1"/>
  <c r="V156" i="1" s="1"/>
  <c r="M156" i="1"/>
  <c r="I156" i="1"/>
  <c r="B156" i="1"/>
  <c r="U155" i="1"/>
  <c r="V155" i="1" s="1"/>
  <c r="M155" i="1"/>
  <c r="I155" i="1"/>
  <c r="B155" i="1"/>
  <c r="U154" i="1"/>
  <c r="V154" i="1" s="1"/>
  <c r="M154" i="1"/>
  <c r="I154" i="1"/>
  <c r="B154" i="1"/>
  <c r="U153" i="1"/>
  <c r="V153" i="1" s="1"/>
  <c r="M153" i="1"/>
  <c r="I153" i="1"/>
  <c r="B153" i="1"/>
  <c r="U152" i="1"/>
  <c r="V152" i="1" s="1"/>
  <c r="M152" i="1"/>
  <c r="I152" i="1"/>
  <c r="B152" i="1"/>
  <c r="U151" i="1"/>
  <c r="V151" i="1" s="1"/>
  <c r="M151" i="1"/>
  <c r="I151" i="1"/>
  <c r="B151" i="1"/>
  <c r="U150" i="1"/>
  <c r="V150" i="1" s="1"/>
  <c r="M150" i="1"/>
  <c r="I150" i="1"/>
  <c r="B150" i="1"/>
  <c r="U149" i="1"/>
  <c r="V149" i="1" s="1"/>
  <c r="M149" i="1"/>
  <c r="I149" i="1"/>
  <c r="B149" i="1"/>
  <c r="U148" i="1"/>
  <c r="V148" i="1" s="1"/>
  <c r="M148" i="1"/>
  <c r="I148" i="1"/>
  <c r="B148" i="1"/>
  <c r="U147" i="1"/>
  <c r="V147" i="1" s="1"/>
  <c r="M147" i="1"/>
  <c r="I147" i="1"/>
  <c r="B147" i="1"/>
  <c r="U146" i="1"/>
  <c r="V146" i="1" s="1"/>
  <c r="M146" i="1"/>
  <c r="I146" i="1"/>
  <c r="B146" i="1"/>
  <c r="U145" i="1"/>
  <c r="V145" i="1" s="1"/>
  <c r="M145" i="1"/>
  <c r="I145" i="1"/>
  <c r="B145" i="1"/>
  <c r="U144" i="1"/>
  <c r="V144" i="1" s="1"/>
  <c r="M144" i="1"/>
  <c r="I144" i="1"/>
  <c r="B144" i="1"/>
  <c r="U143" i="1"/>
  <c r="V143" i="1" s="1"/>
  <c r="I143" i="1"/>
  <c r="B143" i="1"/>
  <c r="M142" i="1"/>
  <c r="I142" i="1"/>
  <c r="G142" i="1"/>
  <c r="U142" i="1" s="1"/>
  <c r="V142" i="1" s="1"/>
  <c r="B142" i="1"/>
  <c r="M141" i="1"/>
  <c r="I141" i="1"/>
  <c r="G141" i="1"/>
  <c r="U141" i="1" s="1"/>
  <c r="V141" i="1" s="1"/>
  <c r="B141" i="1"/>
  <c r="U140" i="1"/>
  <c r="V140" i="1" s="1"/>
  <c r="M140" i="1"/>
  <c r="I140" i="1"/>
  <c r="B140" i="1"/>
  <c r="U139" i="1"/>
  <c r="V139" i="1" s="1"/>
  <c r="M139" i="1"/>
  <c r="I139" i="1"/>
  <c r="B139" i="1"/>
  <c r="U138" i="1"/>
  <c r="V138" i="1" s="1"/>
  <c r="M138" i="1"/>
  <c r="I138" i="1"/>
  <c r="B138" i="1"/>
  <c r="U137" i="1"/>
  <c r="V137" i="1" s="1"/>
  <c r="M137" i="1"/>
  <c r="I137" i="1"/>
  <c r="B137" i="1"/>
  <c r="U136" i="1"/>
  <c r="V136" i="1" s="1"/>
  <c r="M136" i="1"/>
  <c r="I136" i="1"/>
  <c r="B136" i="1"/>
  <c r="U135" i="1"/>
  <c r="V135" i="1" s="1"/>
  <c r="M135" i="1"/>
  <c r="I135" i="1"/>
  <c r="B135" i="1"/>
  <c r="U134" i="1"/>
  <c r="V134" i="1" s="1"/>
  <c r="M134" i="1"/>
  <c r="I134" i="1"/>
  <c r="B134" i="1"/>
  <c r="U133" i="1"/>
  <c r="V133" i="1" s="1"/>
  <c r="M133" i="1"/>
  <c r="I133" i="1"/>
  <c r="B133" i="1"/>
  <c r="M132" i="1"/>
  <c r="I132" i="1"/>
  <c r="G132" i="1"/>
  <c r="U132" i="1" s="1"/>
  <c r="V132" i="1" s="1"/>
  <c r="B132" i="1"/>
  <c r="U131" i="1"/>
  <c r="V131" i="1" s="1"/>
  <c r="M131" i="1"/>
  <c r="I131" i="1"/>
  <c r="B131" i="1"/>
  <c r="U130" i="1"/>
  <c r="V130" i="1" s="1"/>
  <c r="M130" i="1"/>
  <c r="I130" i="1"/>
  <c r="B130" i="1"/>
  <c r="U129" i="1"/>
  <c r="V129" i="1" s="1"/>
  <c r="M129" i="1"/>
  <c r="I129" i="1"/>
  <c r="B129" i="1"/>
  <c r="G36" i="1" l="1"/>
  <c r="G35" i="1"/>
  <c r="M30" i="1"/>
  <c r="U228" i="1" l="1"/>
  <c r="V228" i="1" s="1"/>
  <c r="B229" i="1"/>
  <c r="M228" i="1"/>
  <c r="B228" i="1"/>
  <c r="B227" i="1"/>
  <c r="B226" i="1"/>
  <c r="B225" i="1"/>
  <c r="U224" i="1"/>
  <c r="V224" i="1" s="1"/>
  <c r="M224" i="1"/>
  <c r="B224" i="1"/>
  <c r="B223" i="1"/>
  <c r="U222" i="1"/>
  <c r="V222" i="1" s="1"/>
  <c r="M222" i="1"/>
  <c r="B222" i="1"/>
  <c r="B221" i="1"/>
  <c r="B220" i="1"/>
  <c r="U219" i="1"/>
  <c r="V219" i="1" s="1"/>
  <c r="M219" i="1"/>
  <c r="B219" i="1"/>
  <c r="U218" i="1"/>
  <c r="V218" i="1" s="1"/>
  <c r="M218" i="1"/>
  <c r="B218" i="1"/>
  <c r="U217" i="1"/>
  <c r="V217" i="1" s="1"/>
  <c r="M217" i="1"/>
  <c r="B217" i="1"/>
  <c r="U216" i="1"/>
  <c r="V216" i="1" s="1"/>
  <c r="M216" i="1"/>
  <c r="B216" i="1"/>
  <c r="B215" i="1"/>
  <c r="B214" i="1"/>
  <c r="B213" i="1"/>
  <c r="U212" i="1"/>
  <c r="V212" i="1" s="1"/>
  <c r="M212" i="1"/>
  <c r="B212" i="1"/>
  <c r="U211" i="1"/>
  <c r="V211" i="1" s="1"/>
  <c r="M211" i="1"/>
  <c r="B211" i="1"/>
  <c r="U210" i="1"/>
  <c r="V210" i="1" s="1"/>
  <c r="M210" i="1"/>
  <c r="B210" i="1"/>
  <c r="U209" i="1"/>
  <c r="V209" i="1" s="1"/>
  <c r="M209" i="1"/>
  <c r="B209" i="1"/>
  <c r="U208" i="1"/>
  <c r="V208" i="1" s="1"/>
  <c r="M208" i="1"/>
  <c r="B208" i="1"/>
  <c r="M207" i="1"/>
  <c r="G207" i="1"/>
  <c r="U207" i="1" s="1"/>
  <c r="V207" i="1" s="1"/>
  <c r="B207" i="1"/>
  <c r="U206" i="1"/>
  <c r="V206" i="1" s="1"/>
  <c r="M206" i="1"/>
  <c r="B206" i="1"/>
  <c r="V204" i="1" l="1"/>
  <c r="U204" i="1"/>
  <c r="M204" i="1"/>
  <c r="I204" i="1"/>
  <c r="B204" i="1"/>
  <c r="V203" i="1"/>
  <c r="U203" i="1"/>
  <c r="M203" i="1"/>
  <c r="I203" i="1"/>
  <c r="B203" i="1"/>
  <c r="V202" i="1"/>
  <c r="U202" i="1"/>
  <c r="M202" i="1"/>
  <c r="I202" i="1"/>
  <c r="B202" i="1"/>
  <c r="V201" i="1"/>
  <c r="U201" i="1"/>
  <c r="M201" i="1"/>
  <c r="I201" i="1"/>
  <c r="B201" i="1"/>
  <c r="V200" i="1"/>
  <c r="U200" i="1"/>
  <c r="M200" i="1"/>
  <c r="I200" i="1"/>
  <c r="B200" i="1"/>
  <c r="V199" i="1"/>
  <c r="U199" i="1"/>
  <c r="M199" i="1"/>
  <c r="I199" i="1"/>
  <c r="B199" i="1"/>
  <c r="V198" i="1"/>
  <c r="U198" i="1"/>
  <c r="M198" i="1"/>
  <c r="I198" i="1"/>
  <c r="B198" i="1"/>
  <c r="V197" i="1"/>
  <c r="U197" i="1"/>
  <c r="M197" i="1"/>
  <c r="I197" i="1"/>
  <c r="B197" i="1"/>
  <c r="V196" i="1"/>
  <c r="U196" i="1"/>
  <c r="M196" i="1"/>
  <c r="I196" i="1"/>
  <c r="B196" i="1"/>
  <c r="M195" i="1"/>
  <c r="I195" i="1"/>
  <c r="G195" i="1"/>
  <c r="V195" i="1" s="1"/>
  <c r="B195" i="1"/>
  <c r="M194" i="1"/>
  <c r="I194" i="1"/>
  <c r="G194" i="1"/>
  <c r="V194" i="1" s="1"/>
  <c r="B194" i="1"/>
  <c r="V193" i="1"/>
  <c r="U193" i="1"/>
  <c r="M193" i="1"/>
  <c r="I193" i="1"/>
  <c r="B193" i="1"/>
  <c r="V192" i="1"/>
  <c r="U192" i="1"/>
  <c r="M192" i="1"/>
  <c r="I192" i="1"/>
  <c r="B192" i="1"/>
  <c r="M191" i="1"/>
  <c r="I191" i="1"/>
  <c r="G191" i="1"/>
  <c r="V191" i="1" s="1"/>
  <c r="B191" i="1"/>
  <c r="V190" i="1"/>
  <c r="U190" i="1"/>
  <c r="M190" i="1"/>
  <c r="I190" i="1"/>
  <c r="B190" i="1"/>
  <c r="V189" i="1"/>
  <c r="U189" i="1"/>
  <c r="M189" i="1"/>
  <c r="I189" i="1"/>
  <c r="B189" i="1"/>
  <c r="V188" i="1"/>
  <c r="U188" i="1"/>
  <c r="M188" i="1"/>
  <c r="I188" i="1"/>
  <c r="B188" i="1"/>
  <c r="M187" i="1"/>
  <c r="I187" i="1"/>
  <c r="G187" i="1"/>
  <c r="V187" i="1" s="1"/>
  <c r="B187" i="1"/>
  <c r="U195" i="1" l="1"/>
  <c r="U187" i="1"/>
  <c r="U191" i="1"/>
  <c r="U194" i="1"/>
  <c r="U186" i="1" l="1"/>
  <c r="M186" i="1"/>
  <c r="I186" i="1"/>
  <c r="B186" i="1"/>
  <c r="U185" i="1"/>
  <c r="M185" i="1"/>
  <c r="I185" i="1"/>
  <c r="B185" i="1"/>
  <c r="U184" i="1"/>
  <c r="M184" i="1"/>
  <c r="I184" i="1"/>
  <c r="B184" i="1"/>
  <c r="U183" i="1"/>
  <c r="M183" i="1"/>
  <c r="I183" i="1"/>
  <c r="B183" i="1"/>
  <c r="I182" i="1"/>
  <c r="B182" i="1"/>
  <c r="U181" i="1"/>
  <c r="V181" i="1" s="1"/>
  <c r="M181" i="1"/>
  <c r="I181" i="1"/>
  <c r="B181" i="1"/>
  <c r="U180" i="1"/>
  <c r="M180" i="1"/>
  <c r="I180" i="1"/>
  <c r="B180" i="1"/>
  <c r="I179" i="1"/>
  <c r="B179" i="1"/>
  <c r="I178" i="1"/>
  <c r="B178" i="1"/>
  <c r="I177" i="1"/>
  <c r="B177" i="1"/>
  <c r="I176" i="1"/>
  <c r="B176" i="1"/>
  <c r="U175" i="1"/>
  <c r="V175" i="1" s="1"/>
  <c r="M175" i="1"/>
  <c r="I175" i="1"/>
  <c r="B175" i="1"/>
  <c r="J14" i="4" l="1"/>
  <c r="J4" i="4"/>
  <c r="J5" i="4"/>
  <c r="J6" i="4"/>
  <c r="J7" i="4"/>
  <c r="J8" i="4"/>
  <c r="J9" i="4"/>
  <c r="J10" i="4"/>
  <c r="J11" i="4"/>
  <c r="J12" i="4"/>
  <c r="J13"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3" i="4"/>
  <c r="E10" i="4"/>
  <c r="E11" i="4"/>
  <c r="E12" i="4"/>
  <c r="E13" i="4"/>
  <c r="E14" i="4"/>
  <c r="E15" i="4"/>
  <c r="E16" i="4"/>
  <c r="E17" i="4"/>
  <c r="E18" i="4"/>
  <c r="E47"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2" i="4"/>
  <c r="E93" i="4"/>
  <c r="E94" i="4"/>
  <c r="E95" i="4"/>
  <c r="E96" i="4"/>
  <c r="E97" i="4"/>
  <c r="E98" i="4"/>
  <c r="E99" i="4"/>
  <c r="E100" i="4"/>
  <c r="E101" i="4"/>
  <c r="E102" i="4"/>
  <c r="E103" i="4"/>
  <c r="E104" i="4"/>
  <c r="E105" i="4"/>
  <c r="E106" i="4"/>
  <c r="E107" i="4"/>
  <c r="E108" i="4"/>
  <c r="E109" i="4"/>
  <c r="E110" i="4"/>
  <c r="E111" i="4"/>
  <c r="E112" i="4"/>
  <c r="E113" i="4"/>
  <c r="E114" i="4"/>
  <c r="E115" i="4"/>
  <c r="E116"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V79" i="1"/>
  <c r="U79" i="1"/>
  <c r="M79" i="1"/>
  <c r="E46" i="4" s="1"/>
  <c r="I79" i="1"/>
  <c r="B79" i="1"/>
  <c r="H11" i="4" l="1"/>
  <c r="H166" i="4"/>
  <c r="H162" i="4"/>
  <c r="H158" i="4"/>
  <c r="H154" i="4"/>
  <c r="H150" i="4"/>
  <c r="H146" i="4"/>
  <c r="H142" i="4"/>
  <c r="H138" i="4"/>
  <c r="H134" i="4"/>
  <c r="H130" i="4"/>
  <c r="H116" i="4"/>
  <c r="H110" i="4"/>
  <c r="H107" i="4"/>
  <c r="H104" i="4"/>
  <c r="H100" i="4"/>
  <c r="H96" i="4"/>
  <c r="H93" i="4"/>
  <c r="H88" i="4"/>
  <c r="H84" i="4"/>
  <c r="H80" i="4"/>
  <c r="H77" i="4"/>
  <c r="H71" i="4"/>
  <c r="H67" i="4"/>
  <c r="H63" i="4"/>
  <c r="H59" i="4"/>
  <c r="H47" i="4"/>
  <c r="H161" i="4"/>
  <c r="H153" i="4"/>
  <c r="H145" i="4"/>
  <c r="H137" i="4"/>
  <c r="H115" i="4"/>
  <c r="H99" i="4"/>
  <c r="H87" i="4"/>
  <c r="H79" i="4"/>
  <c r="H76" i="4"/>
  <c r="H66" i="4"/>
  <c r="H62" i="4"/>
  <c r="H17" i="4"/>
  <c r="H10" i="4"/>
  <c r="H168" i="4"/>
  <c r="H160" i="4"/>
  <c r="H152" i="4"/>
  <c r="H144" i="4"/>
  <c r="H136" i="4"/>
  <c r="H128" i="4"/>
  <c r="H112" i="4"/>
  <c r="H109" i="4"/>
  <c r="H102" i="4"/>
  <c r="H98" i="4"/>
  <c r="H94" i="4"/>
  <c r="H90" i="4"/>
  <c r="H86" i="4"/>
  <c r="H82" i="4"/>
  <c r="H75" i="4"/>
  <c r="H73" i="4"/>
  <c r="H69" i="4"/>
  <c r="H65" i="4"/>
  <c r="H61" i="4"/>
  <c r="H18" i="4"/>
  <c r="H16" i="4"/>
  <c r="H13" i="4"/>
  <c r="H165" i="4"/>
  <c r="H157" i="4"/>
  <c r="H149" i="4"/>
  <c r="H141" i="4"/>
  <c r="H133" i="4"/>
  <c r="H129" i="4"/>
  <c r="H103" i="4"/>
  <c r="H95" i="4"/>
  <c r="H83" i="4"/>
  <c r="H70" i="4"/>
  <c r="H46" i="4"/>
  <c r="H14" i="4"/>
  <c r="H164" i="4"/>
  <c r="H156" i="4"/>
  <c r="H148" i="4"/>
  <c r="H140" i="4"/>
  <c r="H132" i="4"/>
  <c r="H114" i="4"/>
  <c r="H106" i="4"/>
  <c r="H92" i="4"/>
  <c r="H167" i="4"/>
  <c r="H163" i="4"/>
  <c r="H159" i="4"/>
  <c r="H155" i="4"/>
  <c r="H151" i="4"/>
  <c r="H147" i="4"/>
  <c r="H143" i="4"/>
  <c r="H139" i="4"/>
  <c r="H135" i="4"/>
  <c r="H131" i="4"/>
  <c r="H113" i="4"/>
  <c r="H111" i="4"/>
  <c r="H108" i="4"/>
  <c r="H105" i="4"/>
  <c r="H101" i="4"/>
  <c r="H97" i="4"/>
  <c r="H89" i="4"/>
  <c r="H85" i="4"/>
  <c r="H81" i="4"/>
  <c r="H78" i="4"/>
  <c r="H74" i="4"/>
  <c r="H72" i="4"/>
  <c r="H68" i="4"/>
  <c r="H64" i="4"/>
  <c r="H60" i="4"/>
  <c r="H15" i="4"/>
  <c r="H12" i="4"/>
  <c r="E120" i="4" l="1"/>
  <c r="H120" i="4" s="1"/>
  <c r="E119" i="4"/>
  <c r="H119" i="4" s="1"/>
  <c r="E118" i="4"/>
  <c r="H118" i="4" s="1"/>
  <c r="E117" i="4"/>
  <c r="H117" i="4" s="1"/>
  <c r="E122" i="4" l="1"/>
  <c r="F122" i="4"/>
  <c r="E123" i="4"/>
  <c r="H123" i="4" s="1"/>
  <c r="E124" i="4"/>
  <c r="H124" i="4" s="1"/>
  <c r="E125" i="4"/>
  <c r="H125" i="4" s="1"/>
  <c r="E126" i="4"/>
  <c r="H126" i="4" s="1"/>
  <c r="E127" i="4"/>
  <c r="H127" i="4" s="1"/>
  <c r="A205" i="1"/>
  <c r="M205" i="1" s="1"/>
  <c r="E121" i="4" s="1"/>
  <c r="B205" i="1"/>
  <c r="C205" i="1"/>
  <c r="D205" i="1"/>
  <c r="E205" i="1"/>
  <c r="F205" i="1"/>
  <c r="G205" i="1"/>
  <c r="H205" i="1"/>
  <c r="I205" i="1"/>
  <c r="O205" i="1"/>
  <c r="F121" i="4" s="1"/>
  <c r="P205" i="1"/>
  <c r="Q205" i="1"/>
  <c r="R205" i="1"/>
  <c r="S205" i="1"/>
  <c r="T205" i="1"/>
  <c r="U205" i="1"/>
  <c r="V205" i="1"/>
  <c r="W205" i="1"/>
  <c r="X205" i="1"/>
  <c r="Z205" i="1"/>
  <c r="AD205" i="1"/>
  <c r="AE205" i="1"/>
  <c r="AF205" i="1"/>
  <c r="AG205" i="1"/>
  <c r="AH205" i="1"/>
  <c r="AI205" i="1"/>
  <c r="AJ205" i="1"/>
  <c r="AK205" i="1"/>
  <c r="H122" i="4" l="1"/>
  <c r="H121" i="4"/>
  <c r="E91" i="4"/>
  <c r="H91" i="4" s="1"/>
  <c r="B49" i="1" l="1"/>
  <c r="M92" i="1" l="1"/>
  <c r="E58" i="4" s="1"/>
  <c r="H58" i="4" s="1"/>
  <c r="I92" i="1"/>
  <c r="B92" i="1"/>
  <c r="I91" i="1"/>
  <c r="M90" i="1"/>
  <c r="E57" i="4" s="1"/>
  <c r="H57" i="4" s="1"/>
  <c r="I90" i="1"/>
  <c r="B90" i="1"/>
  <c r="M89" i="1"/>
  <c r="E56" i="4" s="1"/>
  <c r="H56" i="4" s="1"/>
  <c r="I89" i="1"/>
  <c r="B89" i="1"/>
  <c r="M88" i="1"/>
  <c r="E55" i="4" s="1"/>
  <c r="H55" i="4" s="1"/>
  <c r="I88" i="1"/>
  <c r="B88" i="1"/>
  <c r="M87" i="1"/>
  <c r="E54" i="4" s="1"/>
  <c r="H54" i="4" s="1"/>
  <c r="I87" i="1"/>
  <c r="B87" i="1"/>
  <c r="M86" i="1"/>
  <c r="E53" i="4" s="1"/>
  <c r="H53" i="4" s="1"/>
  <c r="I86" i="1"/>
  <c r="B86" i="1"/>
  <c r="M85" i="1"/>
  <c r="E52" i="4" s="1"/>
  <c r="H52" i="4" s="1"/>
  <c r="I85" i="1"/>
  <c r="B85" i="1"/>
  <c r="M84" i="1"/>
  <c r="E51" i="4" s="1"/>
  <c r="H51" i="4" s="1"/>
  <c r="I84" i="1"/>
  <c r="B84" i="1"/>
  <c r="M83" i="1"/>
  <c r="E50" i="4" s="1"/>
  <c r="H50" i="4" s="1"/>
  <c r="I83" i="1"/>
  <c r="B83" i="1"/>
  <c r="M82" i="1"/>
  <c r="E49" i="4" s="1"/>
  <c r="H49" i="4" s="1"/>
  <c r="I82" i="1"/>
  <c r="B82" i="1"/>
  <c r="M81" i="1"/>
  <c r="E48" i="4" s="1"/>
  <c r="H48" i="4" s="1"/>
  <c r="I81" i="1"/>
  <c r="B81" i="1"/>
  <c r="M78" i="1" l="1"/>
  <c r="E45" i="4" s="1"/>
  <c r="H45" i="4" s="1"/>
  <c r="I78" i="1"/>
  <c r="G78" i="1"/>
  <c r="V78" i="1" s="1"/>
  <c r="B78" i="1"/>
  <c r="V77" i="1"/>
  <c r="U77" i="1"/>
  <c r="M77" i="1"/>
  <c r="E44" i="4" s="1"/>
  <c r="H44" i="4" s="1"/>
  <c r="I77" i="1"/>
  <c r="B77" i="1"/>
  <c r="V76" i="1"/>
  <c r="U76" i="1"/>
  <c r="M76" i="1"/>
  <c r="E43" i="4" s="1"/>
  <c r="H43" i="4" s="1"/>
  <c r="I76" i="1"/>
  <c r="B76" i="1"/>
  <c r="V75" i="1"/>
  <c r="U75" i="1"/>
  <c r="M75" i="1"/>
  <c r="E42" i="4" s="1"/>
  <c r="H42" i="4" s="1"/>
  <c r="I75" i="1"/>
  <c r="B75" i="1"/>
  <c r="V74" i="1"/>
  <c r="U74" i="1"/>
  <c r="M74" i="1"/>
  <c r="E41" i="4" s="1"/>
  <c r="H41" i="4" s="1"/>
  <c r="I74" i="1"/>
  <c r="B74" i="1"/>
  <c r="V73" i="1"/>
  <c r="U73" i="1"/>
  <c r="I73" i="1"/>
  <c r="B73" i="1"/>
  <c r="V72" i="1"/>
  <c r="U72" i="1"/>
  <c r="M72" i="1"/>
  <c r="E40" i="4" s="1"/>
  <c r="H40" i="4" s="1"/>
  <c r="I72" i="1"/>
  <c r="B72" i="1"/>
  <c r="V71" i="1"/>
  <c r="U71" i="1"/>
  <c r="M71" i="1"/>
  <c r="E39" i="4" s="1"/>
  <c r="H39" i="4" s="1"/>
  <c r="I71" i="1"/>
  <c r="B71" i="1"/>
  <c r="V70" i="1"/>
  <c r="U70" i="1"/>
  <c r="M70" i="1"/>
  <c r="E38" i="4" s="1"/>
  <c r="H38" i="4" s="1"/>
  <c r="I70" i="1"/>
  <c r="B70" i="1"/>
  <c r="V69" i="1"/>
  <c r="U69" i="1"/>
  <c r="M69" i="1"/>
  <c r="E37" i="4" s="1"/>
  <c r="H37" i="4" s="1"/>
  <c r="I69" i="1"/>
  <c r="B69" i="1"/>
  <c r="V68" i="1"/>
  <c r="U68" i="1"/>
  <c r="M68" i="1"/>
  <c r="E36" i="4" s="1"/>
  <c r="H36" i="4" s="1"/>
  <c r="I68" i="1"/>
  <c r="B68" i="1"/>
  <c r="V67" i="1"/>
  <c r="U67" i="1"/>
  <c r="M67" i="1"/>
  <c r="E35" i="4" s="1"/>
  <c r="H35" i="4" s="1"/>
  <c r="I67" i="1"/>
  <c r="B67" i="1"/>
  <c r="V66" i="1"/>
  <c r="U66" i="1"/>
  <c r="M66" i="1"/>
  <c r="E34" i="4" s="1"/>
  <c r="H34" i="4" s="1"/>
  <c r="I66" i="1"/>
  <c r="B66" i="1"/>
  <c r="V65" i="1"/>
  <c r="U65" i="1"/>
  <c r="M65" i="1"/>
  <c r="E33" i="4" s="1"/>
  <c r="H33" i="4" s="1"/>
  <c r="I65" i="1"/>
  <c r="B65" i="1"/>
  <c r="V64" i="1"/>
  <c r="U64" i="1"/>
  <c r="M64" i="1"/>
  <c r="E32" i="4" s="1"/>
  <c r="H32" i="4" s="1"/>
  <c r="I64" i="1"/>
  <c r="B64" i="1"/>
  <c r="V63" i="1"/>
  <c r="U63" i="1"/>
  <c r="M63" i="1"/>
  <c r="E31" i="4" s="1"/>
  <c r="H31" i="4" s="1"/>
  <c r="I63" i="1"/>
  <c r="B63" i="1"/>
  <c r="V62" i="1"/>
  <c r="U62" i="1"/>
  <c r="M62" i="1"/>
  <c r="E30" i="4" s="1"/>
  <c r="H30" i="4" s="1"/>
  <c r="I62" i="1"/>
  <c r="B62" i="1"/>
  <c r="V61" i="1"/>
  <c r="U61" i="1"/>
  <c r="M61" i="1"/>
  <c r="E29" i="4" s="1"/>
  <c r="H29" i="4" s="1"/>
  <c r="I61" i="1"/>
  <c r="B61" i="1"/>
  <c r="V60" i="1"/>
  <c r="U60" i="1"/>
  <c r="M60" i="1"/>
  <c r="E28" i="4" s="1"/>
  <c r="H28" i="4" s="1"/>
  <c r="I60" i="1"/>
  <c r="B60" i="1"/>
  <c r="V59" i="1"/>
  <c r="U59" i="1"/>
  <c r="M59" i="1"/>
  <c r="E27" i="4" s="1"/>
  <c r="H27" i="4" s="1"/>
  <c r="I59" i="1"/>
  <c r="B59" i="1"/>
  <c r="U78" i="1" l="1"/>
  <c r="U58" i="1" l="1"/>
  <c r="V58" i="1" s="1"/>
  <c r="M58" i="1"/>
  <c r="E26" i="4" s="1"/>
  <c r="H26" i="4" s="1"/>
  <c r="I58" i="1"/>
  <c r="B58" i="1"/>
  <c r="U57" i="1"/>
  <c r="V57" i="1" s="1"/>
  <c r="M57" i="1"/>
  <c r="E25" i="4" s="1"/>
  <c r="H25" i="4" s="1"/>
  <c r="I57" i="1"/>
  <c r="B57" i="1"/>
  <c r="U56" i="1"/>
  <c r="V56" i="1" s="1"/>
  <c r="M56" i="1"/>
  <c r="E24" i="4" s="1"/>
  <c r="H24" i="4" s="1"/>
  <c r="I56" i="1"/>
  <c r="B56" i="1"/>
  <c r="U55" i="1"/>
  <c r="V55" i="1" s="1"/>
  <c r="M55" i="1"/>
  <c r="E23" i="4" s="1"/>
  <c r="H23" i="4" s="1"/>
  <c r="I55" i="1"/>
  <c r="B55" i="1"/>
  <c r="U54" i="1"/>
  <c r="V54" i="1" s="1"/>
  <c r="M54" i="1"/>
  <c r="E22" i="4" s="1"/>
  <c r="H22" i="4" s="1"/>
  <c r="I54" i="1"/>
  <c r="B54" i="1"/>
  <c r="U53" i="1"/>
  <c r="V53" i="1" s="1"/>
  <c r="M53" i="1"/>
  <c r="E21" i="4" s="1"/>
  <c r="H21" i="4" s="1"/>
  <c r="I53" i="1"/>
  <c r="B53" i="1"/>
  <c r="I52" i="1"/>
  <c r="B52" i="1"/>
  <c r="U51" i="1"/>
  <c r="V51" i="1" s="1"/>
  <c r="M51" i="1"/>
  <c r="E20" i="4" s="1"/>
  <c r="H20" i="4" s="1"/>
  <c r="I51" i="1"/>
  <c r="B51" i="1"/>
  <c r="U50" i="1"/>
  <c r="V50" i="1" s="1"/>
  <c r="M50" i="1"/>
  <c r="E19" i="4" s="1"/>
  <c r="H19" i="4" s="1"/>
  <c r="I50" i="1"/>
  <c r="B50" i="1"/>
  <c r="V49" i="1" l="1"/>
  <c r="U49" i="1"/>
  <c r="M49" i="1"/>
  <c r="I49" i="1"/>
  <c r="E9" i="4" l="1"/>
  <c r="H9" i="4" s="1"/>
  <c r="E8" i="4"/>
  <c r="H8" i="4" s="1"/>
  <c r="E7" i="4"/>
  <c r="H7" i="4" s="1"/>
  <c r="M17" i="1"/>
  <c r="E6" i="4" s="1"/>
  <c r="H6" i="4" s="1"/>
  <c r="I17" i="1"/>
  <c r="M16" i="1"/>
  <c r="E5" i="4" s="1"/>
  <c r="H5" i="4" s="1"/>
  <c r="I16" i="1"/>
  <c r="M15" i="1"/>
  <c r="I15" i="1"/>
  <c r="M14" i="1"/>
  <c r="I14" i="1"/>
  <c r="M13" i="1"/>
  <c r="I13" i="1"/>
  <c r="M12" i="1"/>
  <c r="I12" i="1"/>
  <c r="M11" i="1"/>
  <c r="I11" i="1"/>
  <c r="I10" i="1" l="1"/>
  <c r="B10" i="1"/>
  <c r="M9" i="1"/>
  <c r="E4" i="4" s="1"/>
  <c r="H4" i="4" s="1"/>
  <c r="I9" i="1"/>
  <c r="G9" i="1"/>
  <c r="B9" i="1"/>
  <c r="M8" i="1"/>
  <c r="E3" i="4" s="1"/>
  <c r="H3" i="4" s="1"/>
  <c r="I8" i="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RODRIGUEZ MUÑOZ</author>
  </authors>
  <commentList>
    <comment ref="T22" authorId="0" shapeId="0" xr:uid="{DEB9D115-7ED7-449B-A892-583E5E6B5783}">
      <text>
        <r>
          <rPr>
            <b/>
            <sz val="9"/>
            <color indexed="81"/>
            <rFont val="Tahoma"/>
            <family val="2"/>
          </rPr>
          <t>MARIA ALEJANDRA RODRIGUEZ MUÑOZ:</t>
        </r>
        <r>
          <rPr>
            <sz val="9"/>
            <color indexed="81"/>
            <rFont val="Tahoma"/>
            <family val="2"/>
          </rPr>
          <t xml:space="preserve">
teniendo en cuenta el valor indicado deberia ser una licitacion </t>
        </r>
      </text>
    </comment>
  </commentList>
</comments>
</file>

<file path=xl/sharedStrings.xml><?xml version="1.0" encoding="utf-8"?>
<sst xmlns="http://schemas.openxmlformats.org/spreadsheetml/2006/main" count="5864" uniqueCount="547">
  <si>
    <t>UNIVERSIDAD PEDAGÓGICA NACIONAL</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</si>
  <si>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</si>
  <si>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</si>
  <si>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</si>
  <si>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</si>
  <si>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</si>
  <si>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</si>
  <si>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</si>
  <si>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</si>
  <si>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</si>
  <si>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</si>
  <si>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</si>
  <si>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</si>
  <si>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</si>
  <si>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</si>
  <si>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</si>
  <si>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 xml:space="preserve">INCLUIR EN EL PAA </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</si>
  <si>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</si>
  <si>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</si>
  <si>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</si>
  <si>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</si>
  <si>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</si>
  <si>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</si>
  <si>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</si>
  <si>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</si>
  <si>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</si>
  <si>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</si>
  <si>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</si>
  <si>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</si>
  <si>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</si>
  <si>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</si>
  <si>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</si>
  <si>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</si>
  <si>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</si>
  <si>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</si>
  <si>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</si>
  <si>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</si>
  <si>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</si>
  <si>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</si>
  <si>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</si>
  <si>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</si>
  <si>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</si>
  <si>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10.02</t>
  </si>
  <si>
    <t>NO</t>
  </si>
  <si>
    <t>FEBRERO</t>
  </si>
  <si>
    <t>MES(ES)</t>
  </si>
  <si>
    <t>NA</t>
  </si>
  <si>
    <t>SI</t>
  </si>
  <si>
    <t>Contratación directa.</t>
  </si>
  <si>
    <t>CO-DC</t>
  </si>
  <si>
    <t>contratacion@pedagogica.edu.co</t>
  </si>
  <si>
    <t>JUNIO</t>
  </si>
  <si>
    <t>JULIO</t>
  </si>
  <si>
    <t>No Aplica</t>
  </si>
  <si>
    <t>2.3.2.02.02.008 
Servicios prestados a las empresas y servicios de producción</t>
  </si>
  <si>
    <t>ENERO</t>
  </si>
  <si>
    <t>21.20.08</t>
  </si>
  <si>
    <t>Gestión Documental</t>
  </si>
  <si>
    <t>Grupo Interno de Trabajo de Gestión Documental</t>
  </si>
  <si>
    <t>2.3.2 
Adquisición de bienes y servicios</t>
  </si>
  <si>
    <t>Sandra Dolly Palacios G.</t>
  </si>
  <si>
    <t>PLAN ANUAL DE ADQUISICIONES - 2026</t>
  </si>
  <si>
    <t>Prestar el servicio de digitalización de series o subseries documentales, considerando la disposición final registrada en las Tablas de Valoración Documental - TVD.</t>
  </si>
  <si>
    <t>Prestar el servicio de intervención técnica archivística de series o subseries documentales, considerando la disposición final registrada en las Tablas de Valoración Documental - TVD.</t>
  </si>
  <si>
    <t>BIENESTAR ESTUDIANTIL INTEGRAL</t>
  </si>
  <si>
    <t>PROGRAMA ASE</t>
  </si>
  <si>
    <t>SUBDIRECCIÓN DE BIENESTAR UNIVERSITARIO</t>
  </si>
  <si>
    <t>2.3.2 Adquisición de bienes y servicios</t>
  </si>
  <si>
    <t>2.3.2.02.02.009
Servicios para la comunidad, sociales y personales</t>
  </si>
  <si>
    <t>Amparar el reconocimiento económico de las y los estudiantes beneficiarios del programa de Apoyo a Servicios Estudiantiles-ASE para el 2025-I.</t>
  </si>
  <si>
    <t>No aplica</t>
  </si>
  <si>
    <t>YANETH ROMERO COCA</t>
  </si>
  <si>
    <t>Directo</t>
  </si>
  <si>
    <t>Todas</t>
  </si>
  <si>
    <t>Todos</t>
  </si>
  <si>
    <t>Educación Y Nuevas Tecnologías</t>
  </si>
  <si>
    <t>Fortalecimiento Institucional</t>
  </si>
  <si>
    <t>Amparar el reconocimiento económico de las y los estudiantes beneficiarios del programa de Apoyo a Servicios Estudiantiles-ASE para el 2025-II.</t>
  </si>
  <si>
    <t>AGOSTO</t>
  </si>
  <si>
    <t>MONITORÍAS ACADÉMICAS</t>
  </si>
  <si>
    <t xml:space="preserve">Amparar el reconocimiento económico dado como incentivo a los estudiantes de la UPN que participen de las monitorias académicas y de gestión institucional 2025-I. </t>
  </si>
  <si>
    <t xml:space="preserve">Amparar el reconocimiento económico dado como incentivo a los estudiantes de la UPN que participen de las monitorias académicas y de gestión institucional 2025-II. </t>
  </si>
  <si>
    <t xml:space="preserve">CONVENIO UAESP 336 de 2025 </t>
  </si>
  <si>
    <t>20.04</t>
  </si>
  <si>
    <t>Amparar el reconocimiento económico a estudiantes del semestre 2026-1 beneficiarios con el Convenio 450-2025 suscrito entre la UAESP - UPN</t>
  </si>
  <si>
    <t>ALMUERZOS SUBSIDIADOS</t>
  </si>
  <si>
    <t>2.3.2.02.02.006
Comercio y distribución; alojamiento; servicios de suministro de comidas y bebidas; servicios de transporte; y servicios de distribución de electricidad, gas y agua</t>
  </si>
  <si>
    <t>21.10.23</t>
  </si>
  <si>
    <t>Prestar el servicio de entrega diaria de almuerzos subsidiados a los estudiantes de la Universidad Pedagógica Nacional matriculados en los programas que se desarrollan en la Universidad Pública de Kennedy – UPK durante el 2026-1.</t>
  </si>
  <si>
    <t>Prestar el servicio de entrega diaria de almuerzos subsidiados a los estudiantes de la Universidad Pedagógica Nacional matriculados en los programas que se desarrollan en la Universidad Pública de Kennedy – UPK durante el 2026-2.</t>
  </si>
  <si>
    <t>2.3.2.02.02.008
Servicios prestados a las empresas y servicios de producción</t>
  </si>
  <si>
    <t>Contratacion Directa</t>
  </si>
  <si>
    <t>Género</t>
  </si>
  <si>
    <t>Una Vida Libre De Violencias</t>
  </si>
  <si>
    <t>ALIMENTACION SUBSIDIADA</t>
  </si>
  <si>
    <t>Prestar servicios profesionales  especializados para la atención en psicológica  clínica, psiquiatría y el apoyo psicosocial en necesidades específicas de la salud mental</t>
  </si>
  <si>
    <t>Escenarios internos de incidencia</t>
  </si>
  <si>
    <t>2.3.2.02.02.008 Servicios prestados a las empresas y servicios de producción</t>
  </si>
  <si>
    <t>Prestar servicios de operador logístico para la planeación, organización, producción y ejecución de los eventos y actividades que se requieran en desarrollo de los proyectos internos de investigación de la vigencia 2026</t>
  </si>
  <si>
    <t xml:space="preserve">Contratación directa (con ofertas) </t>
  </si>
  <si>
    <t>Vicerrectoría de Gestión Universitaria</t>
  </si>
  <si>
    <t>601 5941894</t>
  </si>
  <si>
    <t xml:space="preserve">82141500;73151905;82111904 </t>
  </si>
  <si>
    <t>Prestar servicios de diseño,impresión,elaboración  y entrega de material institucional para el desarrollo de los proyectos internos de investigación de la vigencia 2026.</t>
  </si>
  <si>
    <t>73171511;72151603;80161507</t>
  </si>
  <si>
    <t>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t>
  </si>
  <si>
    <t>2.3.2.02.02.006
Servicios de alojamiento; servicios de suministro de comidas y bebidas; servicios de transporte; y servicios de distribución de electricidad, gas y agua</t>
  </si>
  <si>
    <t>90101500;90101700;93131608</t>
  </si>
  <si>
    <t>Suministrar alimentación necesaria, en el desarrollo de las actividades de trabajo de campo y socialización de los proyectos internos de investigación de la vigencia 2026.</t>
  </si>
  <si>
    <t>Evaluación de propuestas de la convocatoria</t>
  </si>
  <si>
    <t>2.3.2.02.02.009  Servicios para la comunidad, sociales y personales</t>
  </si>
  <si>
    <t>Realizar el proceso de evaluación académica de las propuestas presentadas en la convocatoria  interna de investigación 2027, de la Subdirección de Gestión de Proyectos-CIUP.</t>
  </si>
  <si>
    <t>Semana de la investigación</t>
  </si>
  <si>
    <t>N/A</t>
  </si>
  <si>
    <t>Amparar la invitación de conferencistas, moderadores y talleristas  de los paneles de la semana expandida de la investigación, etica de la investigación y ciencia abierta.</t>
  </si>
  <si>
    <t>ABRIL</t>
  </si>
  <si>
    <t>VGU</t>
  </si>
  <si>
    <t>_2.3.3.04.05_A_otras_organizaciones_nacionales</t>
  </si>
  <si>
    <t>2.3.3.04.05.001
Membresías</t>
  </si>
  <si>
    <t>Amparar  el pago de la membresia a la Red Colombiana de Semilleros de Investigación-Redcolsi, correspondiente al año 2026.</t>
  </si>
  <si>
    <t>MARZO</t>
  </si>
  <si>
    <t>Apoyo económico a estudiantes semilleros de investigación</t>
  </si>
  <si>
    <t>Amparar el pago de la inscripción para cada uno de los estudiantes que hacen parte de los semilleros de investigación y que participarán en los diferentes eventos nacionales e internacionales.</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</si>
  <si>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</si>
  <si>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2026-1</t>
  </si>
  <si>
    <t>Amparar el reconocimiento del incentivo económico para vincular monitores de investigación para proyectos cofinanciados e interinstitucionales, revistas, monitores SGP-CIUP observatorios y museos .</t>
  </si>
  <si>
    <t>Amparar el pago de la membresia a la Plataforma ImpactU
"Laboratorio de I+D para la evaluación responsable de la investigación en Colombia."</t>
  </si>
  <si>
    <t>Proyectos externos cofinanciados</t>
  </si>
  <si>
    <t>2.3.2.02.02.006  
Servicios de alojamiento; servicios de suministro de comidas y bebidas; servicios de transporte; y servicios de distribución de electricidad, gas y agua</t>
  </si>
  <si>
    <t>21.20.04</t>
  </si>
  <si>
    <t>Amparar el pago de transporte y gastos de viaje para realizar actividades propias en el desarrollo del proyecto ERASMUS+_2023.</t>
  </si>
  <si>
    <t>2.3.1 Gastos de personal (diferente a contratistas)</t>
  </si>
  <si>
    <t>2.3.2.02.02.010 Viáticos de los funcionarios en comisión</t>
  </si>
  <si>
    <t>Amparar el pago de viaticos y gastos de viaje para realizar actividades propias en el desarrollo del proyecto ERASMUS+_2023.</t>
  </si>
  <si>
    <t>2.3.2.02.01.003 Otros bienes transportables (excepto productos metálicos, maquinaria y equipo)</t>
  </si>
  <si>
    <t>82101500;82121500</t>
  </si>
  <si>
    <t>Amparar la compra de elementos y material publicitario institucional para el desarrollo de eventos en el marco del proyecto ERASMUS+_2023.</t>
  </si>
  <si>
    <t xml:space="preserve">Amparar el pago de transporte y gastos de viaje para realizar actividades propias en el desarrollo del proyecto ERASMUS-EDUDER-UPN-24 </t>
  </si>
  <si>
    <t xml:space="preserve">Amparar el pago de viaticos y gastos de viaje para realizar actividades propias en el desarrollo del proyecto ERASMUS-EDUDER-UPN-24 </t>
  </si>
  <si>
    <t>_2.3.2.02.02_Adquisición_de_servicios</t>
  </si>
  <si>
    <t>Prestar servicios profesionales como personal científico para brindar apoyo a la gestión en el desarrollo de las actividades de investigación directas del proyecto MIN-UPN-937-24.</t>
  </si>
  <si>
    <t>Amparar el pago del apoyo económico a invitados internacionales a los eventos programados en el marco del proyecto MIN-UPN-937-24</t>
  </si>
  <si>
    <t>Amparar el pago de transporte y gastos de viaje para realizar actividades propias en el desarrollo del proyecto MIN-UPN-937-24</t>
  </si>
  <si>
    <t>MAYO</t>
  </si>
  <si>
    <t>Amparar el pago de viaticos y gastos de viaje para profesores de planta para realizar actividades propias en el desarrollo del proyecto MIN-UPN-937-24</t>
  </si>
  <si>
    <t>Número de docentes
que participan en
cursos de formación
en lengua extranjera</t>
  </si>
  <si>
    <t>Vicerrectoría
Académica</t>
  </si>
  <si>
    <t>2.3.2
Adquisición de
bienes y
servicios</t>
  </si>
  <si>
    <t>2.3.2.02.02.009
Servicios para la
comunidad, sociales
y personales</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</si>
  <si>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</si>
  <si>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Vicerrectoría Académica</t>
  </si>
  <si>
    <t>VAC</t>
  </si>
  <si>
    <t xml:space="preserve">VÍCTOR ELIGIO ESPINOSA
GALÁN </t>
  </si>
  <si>
    <t>Beneficiar estudiantes,
profesores y monitores
de la UPN en el idioma
inglés</t>
  </si>
  <si>
    <t>2.3.2.01.01.005.02.05</t>
  </si>
  <si>
    <t>21.20.01</t>
  </si>
  <si>
    <t>Adquirir códigos de acceso a plataforma del idioma  inglés, necesarios para  la realización del curso virtual de Lenguas Extranjeras para la vigencia 2026.</t>
  </si>
  <si>
    <t>MÓNICA LILIANA MONROY
GUZMÁN</t>
  </si>
  <si>
    <t>Beneficiar estudiantes,
profesores y monitores
de la UPN en el idioma
francés</t>
  </si>
  <si>
    <t>Adquirir códigos de acceso a plataforma del idioma  francés necesarios para la realización del curso virtual de Lenguas Extranjeras para la vigencia 2026.</t>
  </si>
  <si>
    <t>2.3.2.02.02.009</t>
  </si>
  <si>
    <t>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t>
  </si>
  <si>
    <t>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t>
  </si>
  <si>
    <t>SEPTIEMBRE</t>
  </si>
  <si>
    <t>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t>
  </si>
  <si>
    <t>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t>
  </si>
  <si>
    <t>Mejora de los espacios en Facultad de Educación Física</t>
  </si>
  <si>
    <t>Grupo Interno de Trabajo de Infraestructura Física</t>
  </si>
  <si>
    <t>2.3.2.02.02.005 Servicios de construcción</t>
  </si>
  <si>
    <t>21.26.02</t>
  </si>
  <si>
    <t>1</t>
  </si>
  <si>
    <t xml:space="preserve">SI </t>
  </si>
  <si>
    <t>72101500;81101500;72151500, 72151900</t>
  </si>
  <si>
    <t>Realizar la Fase II de las adecuaciones de Ecorooms en las Instalaciones de Valmaría de la Universidad Pedagógica Nacional"</t>
  </si>
  <si>
    <t>Licitación pública</t>
  </si>
  <si>
    <t>2</t>
  </si>
  <si>
    <t>72101500;81101500;72152900</t>
  </si>
  <si>
    <t>Realizar las adecuaciones generales para la zona de bicicleteros en las instalaciones de Valmaría de la Universidad Pedagógica Nacional</t>
  </si>
  <si>
    <t>3</t>
  </si>
  <si>
    <t>72101500;81101500</t>
  </si>
  <si>
    <t>Realizar la fase II de las adecuaciones de voz, datos y redes eléctricas de las instalaciones de Valmaría de la Universidad Pedagógica Nacional</t>
  </si>
  <si>
    <t>2.3.2.02.02.008  Servicios prestados a las empresas y servicios de producción</t>
  </si>
  <si>
    <t>4</t>
  </si>
  <si>
    <t>76121600; 70151900; 70111700</t>
  </si>
  <si>
    <t>5</t>
  </si>
  <si>
    <t>6</t>
  </si>
  <si>
    <t>70131500, 77101700,77121500,77121600</t>
  </si>
  <si>
    <t>Realizar la intervención perimetral de los vallados existentes en el predio Valmaría de la Universidad Pedagógica Nacional</t>
  </si>
  <si>
    <t>7</t>
  </si>
  <si>
    <t>77121700,70131500,70111700</t>
  </si>
  <si>
    <t>Realizar la intervención ambiental al cuerpo de agua del lago ubicado en el predio de Valmaría de la Universidad Pedagógica Nacional</t>
  </si>
  <si>
    <t>8</t>
  </si>
  <si>
    <t>Realizar las adecuaciones generales de la mallas de la cancha de futbol, área del lago, de las instalaciones de Valmaría de la Universidad Pedagógica Nacional</t>
  </si>
  <si>
    <t>2.3.2.01.01.004.01.03 Artículos de deporte</t>
  </si>
  <si>
    <t>9</t>
  </si>
  <si>
    <t xml:space="preserve">Adquirir elementos para la piscina de la Facultad de Educación Física  de la Universidad Pedagógica Nacional </t>
  </si>
  <si>
    <t>10</t>
  </si>
  <si>
    <t>Realizar la adecuación del Kiosko de información y bateria sanitaria para visitantes en las instalaciones de Valmaría de la Universidad Pedagógica Nacional</t>
  </si>
  <si>
    <t>11</t>
  </si>
  <si>
    <t>Realizar las adecuaciones necesarias para garantizar el buen funcionamiento del carreteable en las instalaciones de Valmaría de la Universidad Pedagógica Nacional</t>
  </si>
  <si>
    <t>12</t>
  </si>
  <si>
    <t>Realizar las adecuaciones necesarias para garantizar el buen funcionamiento de la cancha de voleyplaya en las instalaciones de Valmaría de la Universidad pedagógica Nacional</t>
  </si>
  <si>
    <t>13</t>
  </si>
  <si>
    <t xml:space="preserve">Realizar la adecuación del cerramiento que genera afectación a la via reportada por la Junta accion comunal San Jose Bavaria de las instalaciones de Valmaría de la Universidad Pedagógica Nacional </t>
  </si>
  <si>
    <t>2.3.2.01.01.003.01.06 Otras máquinas para usos generales y sus partes y piezas</t>
  </si>
  <si>
    <t>14</t>
  </si>
  <si>
    <t>2.3.2.01.01.003.05.02 Aparatos transmisores de televisión y radio; televisión, video y cámaras digitales; teléfonos</t>
  </si>
  <si>
    <t>15</t>
  </si>
  <si>
    <t>Realizar consultoría para elaboración de estudios, diseño y permisos de vertimientos de PTAR en las instalaciones de Valmaría de la Universidad Pedagógica Nacional</t>
  </si>
  <si>
    <t>16</t>
  </si>
  <si>
    <t>Realizar adecuaciones generales para mejorar el sistema de desagüe de aguas lluvia y aguas negras en las instalaciones de Valmaría de la Universidad Pedagógica Nacional</t>
  </si>
  <si>
    <t>17</t>
  </si>
  <si>
    <t>Realizar un estudio de vulnerabilidad sismica  en las instalaciones de Valmaría de la Universidad Pedagógica Nacional</t>
  </si>
  <si>
    <t>18</t>
  </si>
  <si>
    <t xml:space="preserve">Realizar la demolición de las invasiones y realizar el cerramiento provisional en las instalaciones de Valmaría de la Universidad Pedagógica Nacional </t>
  </si>
  <si>
    <t>19</t>
  </si>
  <si>
    <t xml:space="preserve">Adquirir e instalar un sistema de monitoreo descargas atmosféricas en las instalaciones de Valmaría de la Universidad Pedagógica Nacional </t>
  </si>
  <si>
    <t>20</t>
  </si>
  <si>
    <t>Prestar los servicios profesionales especializados para las actividades de planeación, estructuración y seguimiento de las intervenciones y adecuaciones de Infraestructura Física y apoyo en la supervisión de los contratos suscritos en el marco de los proyectos a cargo del Grupo Interno de Trabajo de Infraestructura Física de la Universidad Pedagógica Nacional.</t>
  </si>
  <si>
    <t>Bases de Datos</t>
  </si>
  <si>
    <t>Subdirector de Biblioteca, Documentación y Recursos Bibliográficos</t>
  </si>
  <si>
    <t>2.3.2.01.01.005.02.03.02 Bases de Datos</t>
  </si>
  <si>
    <t>43232609;43232200</t>
  </si>
  <si>
    <t>Adquirir el código de acceso a través de la Base de Datos  Bibliográfica Ebsco, requerida por la Universidad para ampliar la cobertura de consulta tanto a Docentes, Investigadores y Estudiantes.</t>
  </si>
  <si>
    <t>Aprobadas</t>
  </si>
  <si>
    <t>43232609; 43232300</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</si>
  <si>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</si>
  <si>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21.10.07</t>
  </si>
  <si>
    <t>Adquirir el código de acceso a contenidos a través de la Base de Datos Bibliográfica Web of Science, requerida por la Universidad para ampliar la cobertura de consulta tanto a Docentes, Investigadores y Estudiantes.</t>
  </si>
  <si>
    <t>Adquirir el código de acceso a través de la Base de Datos Bibliográfica Scopus, requerida por la Universidad para ampliar la cobertura de consulta tanto a Docentes, Investigadores y Estudiantes.</t>
  </si>
  <si>
    <t>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t>
  </si>
  <si>
    <t>Adquirir el acceso para la administración y alojamiento del software de autenticación y acceso, requerido por la Universidad para controlar el acceso a las Bases de Datos Bibliográficas.</t>
  </si>
  <si>
    <t>Adquirir el acceso al sistema Web que permite la administración de estadísticas de las Bases de Datos Bibliográficas requerida por la Universidad para su control de usabilidad por programa y elaboración de informes, reportes e indicadores.</t>
  </si>
  <si>
    <t>Adquirir el código de acceso a Bases de Datos especializadas en recursos sonoros, información textual y herramientas especializadas en educación musical para propósitos de consulta e investigación, con manejo de Proveedor exclusivo.</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</si>
  <si>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</si>
  <si>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Adquirir el servicio a la Plataforma del Repositorio Institucional UPN, requerido por la Universidad para dar visibilidad y acceso de consulta a la comunidad Universitaria del material especializado como Investigaciones, tesis y/o Documentos Institucionales.</t>
  </si>
  <si>
    <t>Adquirir material bibliografico</t>
  </si>
  <si>
    <t>2.3.2.02.01.003  Otros bienes transportables (excepto productos metálicos, maquinaria y equipo)</t>
  </si>
  <si>
    <t xml:space="preserve"> 55101524, 60102310, 55110000</t>
  </si>
  <si>
    <t xml:space="preserve">Realizar la compra de material bibliográfico impreso para el desarrollo de Colecciones </t>
  </si>
  <si>
    <t>DICIEMBRE</t>
  </si>
  <si>
    <t>Apoyo Alimentario</t>
  </si>
  <si>
    <t>VICERRECTORIA ACADEMICA</t>
  </si>
  <si>
    <t>2.3.2 Adquisición
de bienes y
servicios</t>
  </si>
  <si>
    <t>2.3.2.02.02.006
Comercio y distribución; alojamiento; servicios de suministro de comidas y bebidas; servicios de transporte; y servicios de distribución de electricidad, gas y agua.</t>
  </si>
  <si>
    <t>Amparar el pago del servicio de suministro alimentario para estudiantes beneficiarios del convenio 461-2024- JE2 con Atenea de la Universidad Pedagógica Nacional.</t>
  </si>
  <si>
    <t>Víctor Espinosa Galán</t>
  </si>
  <si>
    <t>20.11</t>
  </si>
  <si>
    <t>Amparar el pago del servicio de suministro alimentario para estudiantes beneficiarios del convenio 534-2025 JE3 con Atenea de la Universidad Pedagógica Nacional.</t>
  </si>
  <si>
    <t>Apoyo Transporte</t>
  </si>
  <si>
    <t>Amparar el pago de las recargas de tarjetas personalizadas “TULLAVE” - acceso al Sistema Integrado de Transporte Público (SITP), de los estudiantes benficiarios del convenio 534-2025 JE3 con Atenea de la Universidad Pedagógica Nacional.</t>
  </si>
  <si>
    <t>Espacios de Apoyo Psicosocial - Adaptación a la vida universitaria</t>
  </si>
  <si>
    <t>Formación Segunda Lengua</t>
  </si>
  <si>
    <t>2.3.2.01.01.005.02.05 Otros productos de propiedad intelectual</t>
  </si>
  <si>
    <t>2.3.2.02.02.009
Servicios para la
comunidad, sociales y
personales</t>
  </si>
  <si>
    <t>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t>
  </si>
  <si>
    <t>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t>
  </si>
  <si>
    <t>si</t>
  </si>
  <si>
    <t>Adquirir exámenes de clasificación necesarios para  adelantar los procesos de formación, en el marco  programa de Atenea - Línea Segunda Lengua-JE3</t>
  </si>
  <si>
    <t>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t>
  </si>
  <si>
    <t>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t>
  </si>
  <si>
    <t>21</t>
  </si>
  <si>
    <t>Apoyo económico Estudiantes Atenea</t>
  </si>
  <si>
    <t>22</t>
  </si>
  <si>
    <t>Amparar el reconocimiento económico de las y los estudiantes beneficiarios del programa de Monitorías Estudiantiles de JE2 para el 2026-1.</t>
  </si>
  <si>
    <t>23</t>
  </si>
  <si>
    <t>Amparar el reconocimiento económico de las y los estudiantes beneficiarios del programa de Monitorías Estudiantiles de JE2 para el 2026-2.</t>
  </si>
  <si>
    <t>Tutorías a estudiantes Atenea</t>
  </si>
  <si>
    <t>24</t>
  </si>
  <si>
    <t>Amparar el reconocimiento económico de las y los estudiantes seleccionados como tutores académicos para el programa de JE2 para 2026-1.</t>
  </si>
  <si>
    <t>25</t>
  </si>
  <si>
    <t>Amparar el reconocimiento económico de las y los estudiantes seleccionados como tutores académicos para el programa de JE2 para 2026-2.</t>
  </si>
  <si>
    <t>FORTALECIMIENTO DEL ACCESO, LA PERMANENCIA Y LA CALIDAD DE LA EDUCACIÓN SUPERIOR UPN-ATENEA</t>
  </si>
  <si>
    <t>Tutorías académicas a estudiantes Atenea</t>
  </si>
  <si>
    <t>26</t>
  </si>
  <si>
    <t>Amparar el reconocimiento económico de las y los estudiantes seleccionados como monitores tutores académicos para el programa de JE3 para 2026-1.</t>
  </si>
  <si>
    <t>27</t>
  </si>
  <si>
    <t>Amparar el reconocimiento económico de las y los estudiantes seleccionados como monitores tutores académicos para el programa de JE3 para 2026-2.</t>
  </si>
  <si>
    <t>20.12</t>
  </si>
  <si>
    <t>Recursos Propios - Atenea JE4</t>
  </si>
  <si>
    <t>28</t>
  </si>
  <si>
    <t>Amparar el reconocimiento económico de las y los estudiantes seleccionados como monitores tutores académicos para el programa de JE4 para 2026-2.</t>
  </si>
  <si>
    <t>29</t>
  </si>
  <si>
    <t>Amparar el pago del servicio de suministro alimentario para estudiantes beneficiarios del convenio JE4 con Atenea de la Universidad Pedagógica Nacional.</t>
  </si>
  <si>
    <t>30</t>
  </si>
  <si>
    <t>Amparar el pago de las recargas de tarjetas personalizadas “TULLAVE” - acceso al Sistema Integrado de Transporte Público (SITP), de los estudiantes benficiarios del convenio JE4 con Atenea de la Universidad Pedagógica Nacional.</t>
  </si>
  <si>
    <t>31</t>
  </si>
  <si>
    <t>Prestar sus servicios profesionales para realizar acciones y sesiones de apoyo psicosocial dirigidas a focalizados con el convenio JE4.</t>
  </si>
  <si>
    <t>Recursos propios Atenea JE4</t>
  </si>
  <si>
    <t>32</t>
  </si>
  <si>
    <t>Adquirir códigos de acceso a plataforma del idioma inglés, necesarios para  adelantar los procesos de formación, en el marco programa de Atenea JE4- Línea Segunda Lengua</t>
  </si>
  <si>
    <t>33</t>
  </si>
  <si>
    <t>Adquirir exámenes de clasificación necesarios para  adelantar los procesos de formación, en el marco  programa de Atenea - Línea Segunda Lengua-JE4</t>
  </si>
  <si>
    <t>34</t>
  </si>
  <si>
    <t>Prestar servicios para el desarrollo de actividades académicas del plan de formación en lengua extranjera - ATENEA JE4, para el segundo semestre de la vigencia 2026,  realizando el respectivo acompañamiento e instrucción a los estudiantes asignados por el Centro de Lenguas en el área de inglés.</t>
  </si>
  <si>
    <t>Mejoramiento de la producción, circulación y apropiación social del conocimiento</t>
  </si>
  <si>
    <t>2.3.3.04.05.001 Membresías</t>
  </si>
  <si>
    <t>Amparar la afiliación de la Universidad Pedagógica Nacional en Asociación de Editoriales Universitarias de Colombia - ASEUC</t>
  </si>
  <si>
    <t>Indirecto</t>
  </si>
  <si>
    <t>Amparar la afiliación de la Universidad Pedagógica Nacional en Asociación de Editoriales Universitarias de América Latina y el Caribe - EULAC.</t>
  </si>
  <si>
    <t>20.01</t>
  </si>
  <si>
    <t>Amparar la afiliación de la Universidad Pedagógica Nacional en Licencia SIMEH anual Premium.</t>
  </si>
  <si>
    <t>Amparar la afiliación de la Universidad Pedagógica Nacional en la Camara Colombiana del Libro</t>
  </si>
  <si>
    <t>Amparar el pago de la membresía anual y registro DOI - Digital Object Identifier de los artículos de las revistas de la Universidad Pedagógica Nacional, en Crossref</t>
  </si>
  <si>
    <t xml:space="preserve">2.3.2.02.02.008 Servicios prestados a las empresas y servicios de producción </t>
  </si>
  <si>
    <t>Prestar servicios de diseño editorial para la producción editorial de la Universidad Pedagógica Nacional.</t>
  </si>
  <si>
    <t>Prestar servicios de diseño web para el desarrollo de las actividades del Grupo Interno de Trabajo Editorial relacionados con los productos digitales y el ecosistema digital.</t>
  </si>
  <si>
    <t>Prestar servicios para el diseño gráfico de la editorial de la Universidad Pedagógica Nacional</t>
  </si>
  <si>
    <t>Prestar servicios de diseño digital web para desarrollar los productos digitales de la editorial</t>
  </si>
  <si>
    <t>Prestar servicios profesionales para el desarrollo de las actividades del Grupo Interno de Trabajo Editorial en la indexación de revistas, y la elaboración de protocolos post-publicación.</t>
  </si>
  <si>
    <t>Prestar servicios para realizar la corrección de estilo y traducción a otros idiomas como inglés y portugués para libros y revistas.</t>
  </si>
  <si>
    <t>Prestar servicios de diseño de materiales educativos documento de autoevaluación para la acreditación institucional</t>
  </si>
  <si>
    <t>Prestar servicios para el diseño gráfico editorial en diagramación de libros y revistas de la Universidad Pedagógica Nacional.</t>
  </si>
  <si>
    <t>Prestar servicios para realizar la corrección de estilo de los libros y revistas de la Universidad Pedagógica Nacional.</t>
  </si>
  <si>
    <t>2.3.2.02.02.009 Servicios para la comunidad, sociales y personales</t>
  </si>
  <si>
    <t>Amparar el apoyo económico para desarrollar las evaluaciones de los  libros</t>
  </si>
  <si>
    <t>Prestar el servicio para la impresión de los libros, revistas y  material institucional producidos por el Grupo Interno de Trabajo Editorial en el desarrollo de sus funciones misionales.</t>
  </si>
  <si>
    <t>2.3.2.02.02.007 Servicios financieros y servicios conexos; servicios inmobiliarios; y servicios de arrendamiento y leasing</t>
  </si>
  <si>
    <t>Amparar el pago al derecho del área de exposición para la participación de la Universidad Pedagógica Nacional en la Feria Internacional del Libro de Bogotá 2026</t>
  </si>
  <si>
    <t xml:space="preserve">Amparar el pago de la participación en Unilibros de Colombia </t>
  </si>
  <si>
    <t>Prestar servicio para el montaje del Stand de la Universidad Pedagógica Nacional para la participación en la Feria Internacional del Libro de Bogotá</t>
  </si>
  <si>
    <t xml:space="preserve">Adquirir boletas para la participación en la Feria Internacional del Libro de Bogotá </t>
  </si>
  <si>
    <t xml:space="preserve">Amparar la participación de la Universidad Pedagógica Nacional en el derecho del área de exposición en la ferias nacionales e internacionales y internas como la Feria Pedagógica del libro, Vive la Librería  y eventos , incluyendo el envío del material. </t>
  </si>
  <si>
    <t>Sostenimiento a las licencias de software</t>
  </si>
  <si>
    <t>SUBDIRECCION DE GESTION DE SISTEMAS DE INFORMACION</t>
  </si>
  <si>
    <t>2.3.2.02.01.004 Productos metálicos y paquetes de software</t>
  </si>
  <si>
    <t>VICERRECTORA ADMINISTRATIVA Y FINANCIERA</t>
  </si>
  <si>
    <t>Infancia, Juventud y Adultez</t>
  </si>
  <si>
    <t>21.10.10</t>
  </si>
  <si>
    <t>2.3.2.01.01.003.03.02 Maquinaria de informática y sus partes, piezas y accesorios</t>
  </si>
  <si>
    <t>AÑO(S)</t>
  </si>
  <si>
    <t>Dotación y Renovación de Equipos</t>
  </si>
  <si>
    <t xml:space="preserve">Gastos de Desarrollo </t>
  </si>
  <si>
    <t xml:space="preserve">2.3.2.01.01.005.02.03.01.02 Gastos de Desarrollo </t>
  </si>
  <si>
    <t>Diseñar y codificar nuevas funcionalidades que se incorporen al Sistema Académico Class para programas de pregrado y Centro de Lenguas de la Universidad Pedagógica Nacional</t>
  </si>
  <si>
    <t xml:space="preserve">Proyección de la Universidad en comunidades acádemicas internacionales </t>
  </si>
  <si>
    <t>Rectoría</t>
  </si>
  <si>
    <t>2.3.2.02.02.010
Viáticos de los funcionarios en comisión</t>
  </si>
  <si>
    <t>Amparar el apoyo económico por concepto de viáticos para docentes de planta y ocasionales de la UPN e IPN y provisionales del IPN y docentes – directivos que participan en seminarios, congresos, talleres, encuentro, pasantías, invitaciones, delegación institucional, entre otros, en el exterior.</t>
  </si>
  <si>
    <t>2.3.2.02.02.006  Servicios de alojamiento; servicios de suministro de comidas y bebidas; servicios de transporte; y servicios de distribución de electricidad, gas y agua</t>
  </si>
  <si>
    <t>Suministrar pasajes aéreos internacionales para docentes de planta, ocasionales de la UPN e IPN y provisionales del IPN y docentes – directivos y estudiantes de la UPN  que participan en seminarios, congresos, talleres, encuentro, pasantías curso corto de estancia internacional, invitaciones, delegación institucional, entre otros, en el exterior. Así como, para los visitantes internacionales que asisten a la UPN.</t>
  </si>
  <si>
    <t>Prestar el servicio de hospedaje, alimentación (desayuno, almuerzo y cena) y transporte para los visitantes internacionales que asisten en el marco de eventos académicos interinstitucionales, actividades, talleres, seminarios, que diseñan las distintas unidades académicas y administrativas de la Universidad Pedagógica Nacional.</t>
  </si>
  <si>
    <t>Amparar el pago de inscripción de docentes de planta y ocasionales de la UPN e IPN y provisionales del IPN para participar con ponencia en  eventos internacionales como congresos, seminarios, simposios, entre otros, en modalidad presencial o virtual.</t>
  </si>
  <si>
    <t>Amparar el reconocimiento del incentivo económico de los estudiantes que conforman del Grupo Estudiantil de Protocolo Institucional de la UPN Nacional</t>
  </si>
  <si>
    <t xml:space="preserve">2.3.3.08 A los hogares diferentes de prestaciones sociales </t>
  </si>
  <si>
    <t>2.3.3.08.02 Apoyo socieconómico a estudiantes</t>
  </si>
  <si>
    <t>Amparar el pago del subsidio de permanencia para los estudiantes visitantes internacionales</t>
  </si>
  <si>
    <t>Amparar el apoyo  de estadía para los estudiantes de la Universidad Pedagógica Nacional que asisten a eventos internacionales con  ponencia, participan en certamenes internacionales</t>
  </si>
  <si>
    <t>2.3.2.02.02.006 Servicios de alojamiento; servicios de suministro de comidas y bebidas; servicios de transporte; y servicios de distribución de electricidad, gas y agua</t>
  </si>
  <si>
    <t>Adquirir los pasajes aéreos de estudiantes de pregrado de la UPN que se movilizarán al exterior en el marco de curso corta estancia en el marco de las convocatorias del ICETEX u otras entidades</t>
  </si>
  <si>
    <t>Amparar el apoyo  económico de estadía estudiantes de pregrado de la UPN que se movilizarán al exterior en el marco de curso corta estancia en el marco de las convocatarias del ICETEX u otras entidades</t>
  </si>
  <si>
    <t>Subsidio de permanencia para los estudiantes internacionales beneficiarios del Acuerdo de Cooperación SAIH (alojamiento, alimentación, transporte, otros)</t>
  </si>
  <si>
    <t>Adquirir los pasajes aéreos de estudiantes para los estudiantes internacionales beneficiarios del Acuerdo de Cooperación SAIH</t>
  </si>
  <si>
    <t>Prestar los servicios profesionales para el apoyo a la gestión administrativa, operativa y de seguimiento al desarrollo del Acuerdo de Cooperación SAIH</t>
  </si>
  <si>
    <t>2.3.2.02.02.007
Servicios financieros y servicios conexos; servicios inmobiliarios; y servicios de arrendamiento y leasing</t>
  </si>
  <si>
    <t>Amparar el pago del seguro médico internacional para los estudiantes internacionales beneficiarios del Acuerdo de Cooperación SAIH</t>
  </si>
  <si>
    <t xml:space="preserve">Amparar el pago del transporte aéreo o terrestre para los integrantes de la comunidad universitaria en caso de riesgos beneficiarios del Acuerdo  de Cooperación SAIH (Fondo de Derechos Humanos) </t>
  </si>
  <si>
    <t>Prestar los servicios profesionales para la evaluación, informe y Auditoria del  Acuerdo de Cooperación sucrito con SAIH</t>
  </si>
  <si>
    <t xml:space="preserve">Adquirir los pasajes aéreos para los visitantes internacionales que desarrollarán el curso presencial “Enseñanza y revitalización de lenguas en contextos de bilingüismo y multilingüismo indígena” - ICETEX </t>
  </si>
  <si>
    <t xml:space="preserve">Suministrar materiales, elementos y útiles para el desarrollo del curso presencial “Enseñanza y revitalización de lenguas en contextos de bilingüismo y multilingüismo indígena” - ICETEX </t>
  </si>
  <si>
    <t>DÍA(S)</t>
  </si>
  <si>
    <t xml:space="preserve">Amparar el apoyo económico de estadía y transporte interno de los visitantes internacionales que desarrollarán el curso presencial “Enseñanza y revitalización de lenguas en contextos de bilingüismo y multilingüismo indígena”- ICETEX </t>
  </si>
  <si>
    <t>93131600;85151500</t>
  </si>
  <si>
    <t>Adquirir e instalar secadores electricos para baterias de baños y televisores para aulas modulares etapa II en las instalaciones de Valmaría de la Universidad Pedagógica Nacional</t>
  </si>
  <si>
    <t>81101500;80111600;80111614;80111617</t>
  </si>
  <si>
    <t>Realizar las adecuaciones de infraestructura física  en los diferentes ambientes de aprendizaje de laUniversidad Pedagógica Nacional definidos en el marco de los proyectos desarrollados mediante el Convenio ATENEA-534-2025</t>
  </si>
  <si>
    <t>Realizar las adecuaciones de infraestructura física de algunos salones de la Facultad de Ciencia y Educación de la Universidad Pedagógica Nacional definidos en el marco de los proyectos desarrollados mediante el Convenio ATENEA-558-2025</t>
  </si>
  <si>
    <t>Realizar las adecuaciones de infraestructura física de la piscina   ubicada en las instalaciones de Calle 72 de la universidad Pedagógica Nacional</t>
  </si>
  <si>
    <t>Realizar las adecuaciones generales de las aulas de sistemas de la Universidad Pedagógica Nacional  definidos en el marco de los proyectos desarrollados mediante el Convenio ATENEA-558-2025</t>
  </si>
  <si>
    <t>Realizar la consultoría y modernización de los sistemas de seguridad y prevención de las instalaciones de Calle 72 y Nogal de la Universidad Pedagógica Nacional  definido en el marco de los proyectos desarrollados mediante el Convenio ATENEA-558-2025</t>
  </si>
  <si>
    <t>90101700; 90101600</t>
  </si>
  <si>
    <t>Recursos propios Atenea JE3</t>
  </si>
  <si>
    <t>Adquirir códigos de acceso a plataforma del idioma inglés, necesarios para  adelantar los procesos de formación, en el marco programa de Atenea JE2 - Línea Segunda Lengua</t>
  </si>
  <si>
    <t>Adquirir códigos de acceso a plataforma del idioma inglés, necesarios para  adelantar los procesos de formación, en el marco programa de Atenea JE3- Línea Segunda Lengua</t>
  </si>
  <si>
    <t>56101600; 56101603;56101602; 56101703;56112104;56112100;56101520</t>
  </si>
  <si>
    <t>72101500; 81101500</t>
  </si>
  <si>
    <t>81112005;80111600</t>
  </si>
  <si>
    <t>80111600;85121608</t>
  </si>
  <si>
    <t>85121607;85121608;80111600</t>
  </si>
  <si>
    <t>VICERRECTORÍA DE GESTIÓN UNIVERSITARIA</t>
  </si>
  <si>
    <t>DIRECCION DE CONTRATACION</t>
  </si>
  <si>
    <t>Prestar servicios para el diseño de proyectos editoriales y  digitales especiales</t>
  </si>
  <si>
    <t>Recursos Propios</t>
  </si>
  <si>
    <t>Amparar el pago de ISBN de los libros de la producción editorial de la Universidad Pedagógica Nacional.</t>
  </si>
  <si>
    <t>Prestar el servicio de Internet de alta velocidad para la participación de la emisora y editorial de la Universidad en la Feria Internacional del Libro de Bogotá 2026.</t>
  </si>
  <si>
    <t>Prestar servicios para realizar la corrección de estilo de los libros de la Universidad Pedagógica Nacional.</t>
  </si>
  <si>
    <t>Amparar el pago de ISMN de los libros de la producción editorial de la Universidad Pedagógica Nacional.</t>
  </si>
  <si>
    <t>Prestar servicios de diseño digital de los  documentos de autoevaluación para la acreditación institucional</t>
  </si>
  <si>
    <t>Aportes de la Nacion - Inversion</t>
  </si>
  <si>
    <t>43233200;
43222600;
81111500;
81111600;
81111800;</t>
  </si>
  <si>
    <t>Renovar licenciamiento para la plataforma de seguridad perimetral de la Universidad Pedagógica Nacional</t>
  </si>
  <si>
    <t>601 5941894 Ext 118</t>
  </si>
  <si>
    <t>VAD@PEDAGOGICA.EDU.CO</t>
  </si>
  <si>
    <t>Renovar el derecho de uso del licenciamiento de antivirus para la Universidad Pedagogica Nacional</t>
  </si>
  <si>
    <t>Renovar el derecho de uso de licenciamiento Veeam Backup para la Universidad Pedagogica Nacional</t>
  </si>
  <si>
    <t>602 5941894 Ext 118</t>
  </si>
  <si>
    <t>Renovar el derecho de uso del licenciamiento Oracle con servicio de soporte para la Universidad Pedagógica Nacional</t>
  </si>
  <si>
    <t>603 5941894 Ext 118</t>
  </si>
  <si>
    <t>Adquirir equipos de computo para la renovación del parque computacional de la Universidad Pedagógica Nacional</t>
  </si>
  <si>
    <t>DESARROLLO DE LA POLÍTICA DE INVESTIGACIÓN UPN</t>
  </si>
  <si>
    <t>Vicerrectoría de Investigación, Extensión y Proyección Social</t>
  </si>
  <si>
    <t>INV-42102-24</t>
  </si>
  <si>
    <t>Amparar los pagos por publicación de artículos científicos derivados de proyectos de investigación (APC), así como los costos asociados al registro de patentes y a la propiedad intelectual.</t>
  </si>
  <si>
    <t>vgu@pedagogica.edu.co</t>
  </si>
  <si>
    <t>INV-42102-1</t>
  </si>
  <si>
    <t>60101700; 60105800; 78101800; 78121500; 60121500; 60121200; 52161500</t>
  </si>
  <si>
    <t>Dirección de contratación Universidad Pedagogica Nacional</t>
  </si>
  <si>
    <t>INV-42102-2</t>
  </si>
  <si>
    <t>INV-42102-3</t>
  </si>
  <si>
    <t>INV-42102-4</t>
  </si>
  <si>
    <t>INV-42102-5</t>
  </si>
  <si>
    <t>INV-42102-6</t>
  </si>
  <si>
    <t>INV-42102-7</t>
  </si>
  <si>
    <t>Prestar servicios profesionales para nuevos desarrollos, mantenimiento y soporte de la plataforma de investigación para maestros y estudiantes PRIME.</t>
  </si>
  <si>
    <t>INV-42102-8</t>
  </si>
  <si>
    <t>INV-42102-10</t>
  </si>
  <si>
    <t>INV-42102-11</t>
  </si>
  <si>
    <t>INV-42102-12</t>
  </si>
  <si>
    <t>INV-42102-13</t>
  </si>
  <si>
    <t>Recursos del Balance - Aportes otras entidades</t>
  </si>
  <si>
    <t>INV-42102-14</t>
  </si>
  <si>
    <t>INV-42102-15</t>
  </si>
  <si>
    <t>INV-42102-16</t>
  </si>
  <si>
    <t>INV-42102-17</t>
  </si>
  <si>
    <t>INV-42102-18</t>
  </si>
  <si>
    <t>INV-42102-19</t>
  </si>
  <si>
    <t>INV-42102-20</t>
  </si>
  <si>
    <t>INV-42102-21</t>
  </si>
  <si>
    <t>INV-42102-22</t>
  </si>
  <si>
    <t>INV-42102-23</t>
  </si>
  <si>
    <t>Prestar servicios profesionales para la planeación y ejecución de las intervenciones eléctricas de los proyectos de reparación locativa, adecuación y mejoramiento correspondiente a las funciones del Grupo de Infraestructura Física de la Universidad Pedagógica Nacional.</t>
  </si>
  <si>
    <t>DIRECCIÓN DE CONTRATACIÓN UNIVERSIDAD PEDAGOGICA NACIONAL</t>
  </si>
  <si>
    <t>CONSTRUCCIÓN DE LA FACULTAD DE EDUCACIÓN FÍSICA DEL PROYECTO VALMARÍA</t>
  </si>
  <si>
    <t>Rendimientos Financieros - Estampilla UPN</t>
  </si>
  <si>
    <t>INV-43201-21</t>
  </si>
  <si>
    <t>Realizar la siembra de un corredor ecológico con el fin de controlar los rebrotes de retamo espinoso en las instalaciones de Valmaría de la Universidad Pedagógica Nacional</t>
  </si>
  <si>
    <t>Realizar el control vegetativo en las zonas verdes de las
instalaciones de Valmaría de la Universidad Pedagógica Nacional</t>
  </si>
  <si>
    <t>81112209;81141902;81111812</t>
  </si>
  <si>
    <t>52161505;48101516 ;23201202</t>
  </si>
  <si>
    <t>AÑOS</t>
  </si>
  <si>
    <t>MÓNICA LILIANA MONROY GUZMÁN</t>
  </si>
  <si>
    <t xml:space="preserve">Recursos del Balance- Plan de Fomento al Bienestar </t>
  </si>
  <si>
    <t>INV-44101-8</t>
  </si>
  <si>
    <t>Apoyar la prestación de servicios profesionales en psicologia para el GOAE en la atención a la comunidad universitaria tanto  grupal como individual, con enfoque en grupos poblacionales de acuerdo a las necesidades de la institución al igual que al estudiantado en general.</t>
  </si>
  <si>
    <t>DIRECCIÓN DE CONTRATACIÓN</t>
  </si>
  <si>
    <t>601 348 5300</t>
  </si>
  <si>
    <t>INV-44101-9</t>
  </si>
  <si>
    <t xml:space="preserve">VICERRECTORIA ADMINISTRATIVA Y FINANCIERA </t>
  </si>
  <si>
    <t xml:space="preserve">43211500;
43211507;
43211508;
43211600;
</t>
  </si>
  <si>
    <t>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t>
  </si>
  <si>
    <t>2.3.3.03.03.001 Membresías</t>
  </si>
  <si>
    <t>42103</t>
  </si>
  <si>
    <t>Afianzamiento del sistema de publicaciones y difusión del conocimiento</t>
  </si>
  <si>
    <t>Prestar el servicio de actualización y mantenimiento de la plataforma Open Journal Systems</t>
  </si>
  <si>
    <t>GRUPO DE CONTRATACION UNIVERSIDAD PEDAGOGICA NACIONAL</t>
  </si>
  <si>
    <t xml:space="preserve">VGU - CONTRATACIÓN </t>
  </si>
  <si>
    <t>Prestar el servicio para la marcación de las revistas que se encuentran incluidas en SciELO Colombia</t>
  </si>
  <si>
    <t xml:space="preserve">Amparar la afiliación de la Universidad Pedagógica Nacional en Comité de Ética de la Publicación (COPE) </t>
  </si>
  <si>
    <t>35</t>
  </si>
  <si>
    <t xml:space="preserve">Prestar el servicio para el soporte de libros electronicos </t>
  </si>
  <si>
    <t>36</t>
  </si>
  <si>
    <t>Prestar el servicio para los materiales y diseño de libreria UPN</t>
  </si>
  <si>
    <t>38</t>
  </si>
  <si>
    <t>Prestar el servicio para el desarrollo del laboratorio del Materiales educativos y su producción.</t>
  </si>
  <si>
    <t>Adecuación de espacios de la Universidad</t>
  </si>
  <si>
    <t>2.3.2.02.02.008 Servicios
prestados a las empresas y
servicios de producción</t>
  </si>
  <si>
    <t>Recursos Propios Atenea JE 3</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</si>
  <si>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</si>
  <si>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DIRECCIÓN DE CONTRATACION UNIVERSIDAD PEDAGOGICA NACIONAL</t>
  </si>
  <si>
    <t>2.3.2.02.02.005 Servicios de
construcción</t>
  </si>
  <si>
    <t>Recursos Propios Atenea JE 4</t>
  </si>
  <si>
    <t xml:space="preserve">2.3.2.02.02.008 Servicios prestados a las empresas y servicios de producción </t>
  </si>
  <si>
    <t>Dotar gimnasios de la Universidad Pedagógica Nacional</t>
  </si>
  <si>
    <t>21.10.06</t>
  </si>
  <si>
    <t xml:space="preserve">Recursos del Balance Plan de Fomento a la Calidad </t>
  </si>
  <si>
    <t>Adquirir máquinas, elementos y artículos deportivos para los gimnasios de la Facultad de Educación Física de la Universidad Pedagógica Nacional</t>
  </si>
  <si>
    <t xml:space="preserve"> 2.3.2.01.01.003.06.04 Relojes y sus partes y piezas</t>
  </si>
  <si>
    <t>2.3.2.01.01.003.06.02 Instrumentos y aparatos de medición, verificación, análisis, de navegación y para otros fines (excepto instrumentos ópticos); instrumentos de control de procesos industriales, sus partes, piezas y accesorios</t>
  </si>
  <si>
    <t>Adecuación de espacios académicos de la Universidad</t>
  </si>
  <si>
    <t>72101500;72151700;81101500</t>
  </si>
  <si>
    <t>Realizar la etapa I de las adecuaciones generales para la mejora de las zonas de accesibilidad en las instalaciones de Calle 72 de la Universidad Pedagógica Nacional</t>
  </si>
  <si>
    <t>72101500, 72121100, 81101500;72151500;72151600</t>
  </si>
  <si>
    <t xml:space="preserve">Realizar adecuaciones generales en el segundo piso del edificio P de las instalaciones de calle 72 de la Universidad Pedagógica Nacional </t>
  </si>
  <si>
    <t>72101500; 81101500;72121400;72151500;72151600</t>
  </si>
  <si>
    <t>Realizar adecuaciones generales para la sala de profesores de la Facultad de Ciencia y Tecnología de la Universidad Pedagógica Nacional</t>
  </si>
  <si>
    <t>Dotación de espacios académicos de la Universidad</t>
  </si>
  <si>
    <t>2.3.2.01.01.003.01.04  Hornos y quemadores para alimentación de hogares y sus partes y piezas</t>
  </si>
  <si>
    <t>41101500;41104600;41102400;41103800</t>
  </si>
  <si>
    <t xml:space="preserve">Adquirir e instalar equipos especializados  para algunos laboratorios del Departamento de Química de la Universidad Pedagógica Nacional </t>
  </si>
  <si>
    <t>2.3.2.01.01.003.01.02 Bombas, compresores, motores de fuerza hidráulica y motores de potencia neumática y válvulas y sus partes y piezas</t>
  </si>
  <si>
    <t>72101500;72152600;72151200;72152100;81101500</t>
  </si>
  <si>
    <t>Realizar las adecuaciones generales en las áreas de cafetería y  salones en las instalaciones de Nogal de la Universidad Pedagógica Nacional</t>
  </si>
  <si>
    <t xml:space="preserve">ENERO </t>
  </si>
  <si>
    <t xml:space="preserve">2.3.2.02.02.005 Servicios de la contrucción </t>
  </si>
  <si>
    <t xml:space="preserve">Rendimientos Recursos Plan de Fomento a la Calidad </t>
  </si>
  <si>
    <t>Recursos del Balance - Propios inversión</t>
  </si>
  <si>
    <t>72101500;72151500;72152
600;72153200;81101500</t>
  </si>
  <si>
    <t xml:space="preserve">Realizar la fase II de las adecuaciones de las cubiertas del Instituto
Pedagógico Nacional </t>
  </si>
  <si>
    <t>21.17.01</t>
  </si>
  <si>
    <t>Recursos del Balance - Estampilla UNAL</t>
  </si>
  <si>
    <t>Rendimientos Recursos Nación Inversión</t>
  </si>
  <si>
    <t xml:space="preserve">Rendimientos recursos cooperativas gestión </t>
  </si>
  <si>
    <t>INV-44101-10</t>
  </si>
  <si>
    <t>Recursos Propios - Aportes de Otras Entidades</t>
  </si>
  <si>
    <t>INV-44101-11</t>
  </si>
  <si>
    <t>Prestar los servicios profesionales para realizar el seguimiento a la ejecución del Convenio Interadministrativo No.450 de 
2025 suscrito entre la UAESP y la UPN.</t>
  </si>
  <si>
    <t xml:space="preserve">93141700
80141900
56121902
</t>
  </si>
  <si>
    <t>56121900
82141602
56121902</t>
  </si>
  <si>
    <t>83101800
78181700
60101400
56121902</t>
  </si>
  <si>
    <t>Prestar el servicio de apoyo logístico en Corferias para la participación de la Universidad en la Feria Internacional del libro de Bogotá.</t>
  </si>
  <si>
    <t>93141700
80141900
56121902</t>
  </si>
  <si>
    <t>39</t>
  </si>
  <si>
    <t>Prestar servicio para la producción de la convocatoria de libros infaltiles y juveniles</t>
  </si>
  <si>
    <t>Prestar servicios para el diseño gráfico editorial y diagramación de libros de la Universidad Pedagógica Nacional.</t>
  </si>
  <si>
    <t>42</t>
  </si>
  <si>
    <t>Prestación de servicios para la actualización del diseño gráfico del libro Bichitos Bichotes, publicado por la Universidad Pedagógica Nacional.</t>
  </si>
  <si>
    <t>Grupo de Contratación</t>
  </si>
  <si>
    <t>78111800; 90111500; 90101500</t>
  </si>
  <si>
    <t>11150000, 11160000, 27112800, 14111507, 44121708, 60106207, 60121226, 31211900, 31211906, 31211500, 60121001, 601121200, 44121618 60121518</t>
  </si>
  <si>
    <t>49221500;49171500;49201500;49201600;49211800</t>
  </si>
  <si>
    <t>Realizar la consultoría integral para la  formulación del Plan Maestro de Infraestructura Física de las instalaciones de la Universidad Pedagógica Nacional, de conformidad con el Anexo Técnico No.01</t>
  </si>
  <si>
    <t>20.07</t>
  </si>
  <si>
    <t>Aportes de Otras Entidades-Bogotá</t>
  </si>
  <si>
    <t xml:space="preserve">81101500; 80111600;80101600 </t>
  </si>
  <si>
    <t>VICERRECTORIA ADMINISTRATIVA Y FINANCIERA</t>
  </si>
  <si>
    <t>Amparar el pago de la membresia al Programa Delfin de la Universidad Autónoma de Nayari- México.</t>
  </si>
  <si>
    <t>ELIMINAR</t>
  </si>
  <si>
    <t>Amparar los gastos de alimentación para el desarrollo de eventos en el marco del proyecto ERASMUS+_2023.</t>
  </si>
  <si>
    <t>INV-42102-25</t>
  </si>
  <si>
    <t>Prestar servicios profesionales orientados a brindar soporte técnico y realizar el acompañamiento integral a los resultados derivados de la convocatoria  de Minciencias para la medición de grupos de investigación. Asimismo, desarrollar actividades de revisión, ajuste, unificación y formalización de los procedimientos y formatos utilizados por la Dirección de Investigación, con el propósito de optimizar su operación, garantizar la coherencia con los lineamientos institucionales y fortalecer los principios de eficiencia, transparencia y adecuado cumplimiento normativo en su gestión.</t>
  </si>
  <si>
    <t>INV-42102-26</t>
  </si>
  <si>
    <t>Prestar servicios profesionales especializados para estructurar y formular la estrategia de comunicación pública de la ciencia, así como ejecutar una fase piloto que incluya la creación de contenidos relacionados con actividades de investigación, con el fin de fortalecer los procesos de divulgación de la Dirección de Investigación.</t>
  </si>
  <si>
    <t>INV-42102-27</t>
  </si>
  <si>
    <t>Prestar servicios profesionales orientados al ajuste, depuración y unificación de las bases de datos correspondientes a proyectos, grupos, semilleros y monitores de investigación de la Dirección de Investigación, como parte de una segunda fase de trabajo, con el fin de mejorar la calidad y pertinencia de la información requerida para procesos de acreditación, renovación de registros calificados y creación de nuevos programas.</t>
  </si>
  <si>
    <t>Prestar el servicio para la impresión de libros producidos por el Grupo Interno de Trabajo Editorial que se publicaran mediante coediciones.</t>
  </si>
  <si>
    <t>603 5941844</t>
  </si>
  <si>
    <t>vac@upn.edu.co</t>
  </si>
  <si>
    <t>MODIFICAR</t>
  </si>
  <si>
    <t>Prestar los servicios profesionales en psicología, para seguimiento psicosocial y pedagógico a los jovenes del convenio 534-2025 JE3.</t>
  </si>
  <si>
    <t>604 5941844</t>
  </si>
  <si>
    <t>605 5941844</t>
  </si>
  <si>
    <t>606 5941844</t>
  </si>
  <si>
    <t>607 5941844</t>
  </si>
  <si>
    <t>608 5941844</t>
  </si>
  <si>
    <t>MESES</t>
  </si>
  <si>
    <t>82121500; 80111600</t>
  </si>
  <si>
    <t>Prestar los servicios profesionales como diseñador gráfico, para apoyar las actividades de comunicación en el seguimiento pedagogico de los jovenes vinculados al convenio 534-2025 JE3.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</si>
</sst>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43" formatCode="_-* #,##0.00_-;\-* #,##0.00_-;_-* &quot;-&quot;??_-;_-@_-"/>
    <numFmt numFmtId="164" formatCode="_-&quot;$&quot;\ * #,##0_-;\-&quot;$&quot;\ * #,##0_-;_-&quot;$&quot;\ * &quot;-&quot;??_-;_-@_-"/>
    <numFmt numFmtId="165" formatCode="_-&quot;$&quot;* #,##0_-;\-&quot;$&quot;* #,##0_-;_-&quot;$&quot;* &quot;-&quot;_-;_-@_-"/>
    <numFmt numFmtId="166" formatCode="&quot;$&quot;\ #,##0"/>
    <numFmt numFmtId="167" formatCode="_-[$$-240A]\ * #,##0_-;\-[$$-240A]\ * #,##0_-;_-[$$-240A]\ * &quot;-&quot;_-;_-@_-"/>
  </numFmts>
  <fonts count="35">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u/>
      <sz val="11"/>
      <color theme="10"/>
      <name val="Calibri"/>
      <family val="2"/>
      <scheme val="minor"/>
    </font>
    <font>
      <sz val="10"/>
      <name val="Arial"/>
      <family val="2"/>
    </font>
    <font>
      <sz val="11"/>
      <color rgb="FF000000"/>
      <name val="Calibri"/>
      <family val="2"/>
      <scheme val="minor"/>
    </font>
    <font>
      <sz val="8"/>
      <name val="Calibri"/>
      <family val="2"/>
      <scheme val="minor"/>
    </font>
    <font>
      <sz val="10"/>
      <name val="Calibri"/>
      <family val="2"/>
      <scheme val="minor"/>
    </font>
    <font>
      <sz val="10"/>
      <color theme="1"/>
      <name val="Calibri"/>
      <family val="2"/>
      <scheme val="minor"/>
    </font>
    <font>
      <b/>
      <sz val="10"/>
      <name val="Calibri"/>
      <family val="2"/>
      <scheme val="minor"/>
    </font>
    <font>
      <sz val="9"/>
      <color indexed="81"/>
      <name val="Tahoma"/>
      <family val="2"/>
    </font>
    <font>
      <b/>
      <sz val="9"/>
      <color indexed="81"/>
      <name val="Tahoma"/>
      <family val="2"/>
    </font>
    <font>
      <sz val="9"/>
      <color theme="1"/>
      <name val="Arial"/>
      <family val="2"/>
    </font>
    <font>
      <sz val="8"/>
      <color theme="1"/>
      <name val="Helvetica"/>
      <family val="2"/>
    </font>
    <font>
      <sz val="8"/>
      <color theme="1"/>
      <name val="Helvetica"/>
    </font>
    <font>
      <sz val="8"/>
      <color theme="1"/>
      <name val="Helvetica "/>
    </font>
    <font>
      <sz val="9"/>
      <name val="Helvetica"/>
    </font>
    <font>
      <sz val="8"/>
      <name val="Helvetica"/>
    </font>
    <font>
      <u/>
      <sz val="8"/>
      <color theme="10"/>
      <name val="Helvetica"/>
    </font>
    <font>
      <sz val="8"/>
      <name val="Helvetica "/>
    </font>
    <font>
      <sz val="9"/>
      <name val="Arial"/>
      <family val="2"/>
    </font>
    <font>
      <sz val="9"/>
      <color rgb="FF000000"/>
      <name val="Arial"/>
      <family val="2"/>
    </font>
    <font>
      <u/>
      <sz val="9"/>
      <color rgb="FF0563C1"/>
      <name val="Arial"/>
      <family val="2"/>
    </font>
    <font>
      <sz val="8"/>
      <color rgb="FF000000"/>
      <name val="Helvetica"/>
      <family val="2"/>
    </font>
    <font>
      <u/>
      <sz val="8"/>
      <name val="Helvetica"/>
    </font>
    <font>
      <sz val="8"/>
      <name val="Tahoma"/>
      <family val="2"/>
    </font>
    <font>
      <sz val="10"/>
      <color theme="1"/>
      <name val="Helvetica"/>
    </font>
    <font>
      <sz val="10"/>
      <name val="Helvetica"/>
    </font>
    <font>
      <sz val="9"/>
      <color rgb="FFFF0000"/>
      <name val="Helvetica"/>
    </font>
    <font>
      <u/>
      <sz val="11"/>
      <name val="Helvetica"/>
    </font>
    <font>
      <sz val="9"/>
      <color theme="1"/>
      <name val="Helvetica"/>
    </font>
    <font>
      <u/>
      <sz val="11"/>
      <color theme="10"/>
      <name val="Helvetica"/>
    </font>
    <font>
      <sz val="9"/>
      <color rgb="FF000000"/>
      <name val="Helvetica"/>
    </font>
    <font>
      <sz val="10"/>
      <color rgb="FFFF0000"/>
      <name val="Helvetica"/>
    </font>
  </fonts>
  <fills count="3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BE5F1"/>
        <bgColor indexed="64"/>
      </patternFill>
    </fill>
    <fill>
      <patternFill patternType="solid">
        <fgColor rgb="FF00B05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BFBFBF"/>
        <bgColor rgb="FFBFBFBF"/>
      </patternFill>
    </fill>
    <fill>
      <patternFill patternType="solid">
        <fgColor rgb="FFFFD966"/>
        <bgColor rgb="FFFFD966"/>
      </patternFill>
    </fill>
    <fill>
      <patternFill patternType="solid">
        <fgColor rgb="FFFFE699"/>
        <bgColor rgb="FFFFE699"/>
      </patternFill>
    </fill>
    <fill>
      <patternFill patternType="solid">
        <fgColor rgb="FFBFBFBF"/>
        <bgColor rgb="FF000000"/>
      </patternFill>
    </fill>
    <fill>
      <patternFill patternType="solid">
        <fgColor rgb="FFFFD966"/>
        <bgColor rgb="FF000000"/>
      </patternFill>
    </fill>
    <fill>
      <patternFill patternType="solid">
        <fgColor rgb="FFFFE699"/>
        <bgColor rgb="FF000000"/>
      </patternFill>
    </fill>
    <fill>
      <patternFill patternType="solid">
        <fgColor rgb="FFFFD966"/>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79998168889431442"/>
        <bgColor rgb="FFC1E4F5"/>
      </patternFill>
    </fill>
    <fill>
      <patternFill patternType="solid">
        <fgColor rgb="FFD9E1F2"/>
        <bgColor rgb="FF000000"/>
      </patternFill>
    </fill>
    <fill>
      <patternFill patternType="solid">
        <fgColor theme="0" tint="-4.9989318521683403E-2"/>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indexed="64"/>
      </right>
      <top style="thin">
        <color rgb="FF000000"/>
      </top>
      <bottom/>
      <diagonal/>
    </border>
    <border>
      <left style="thin">
        <color auto="1"/>
      </left>
      <right style="thin">
        <color auto="1"/>
      </right>
      <top/>
      <bottom style="thin">
        <color rgb="FF000000"/>
      </bottom>
      <diagonal/>
    </border>
    <border>
      <left style="thin">
        <color rgb="FF000000"/>
      </left>
      <right style="thin">
        <color indexed="64"/>
      </right>
      <top style="thin">
        <color rgb="FF000000"/>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s>
  <cellStyleXfs count="32">
    <xf numFmtId="0" fontId="0" fillId="0" borderId="0"/>
    <xf numFmtId="44" fontId="1" fillId="0" borderId="0" applyFont="0" applyFill="0" applyBorder="0" applyAlignment="0" applyProtection="0"/>
    <xf numFmtId="0" fontId="2" fillId="4" borderId="0" applyNumberFormat="0" applyBorder="0" applyProtection="0">
      <alignment horizontal="center" vertical="center"/>
    </xf>
    <xf numFmtId="49" fontId="3" fillId="0" borderId="0" applyFill="0" applyBorder="0" applyProtection="0">
      <alignment horizontal="left" vertical="center"/>
    </xf>
    <xf numFmtId="0" fontId="4" fillId="0" borderId="0" applyNumberFormat="0" applyFill="0" applyBorder="0" applyAlignment="0" applyProtection="0"/>
    <xf numFmtId="44" fontId="1" fillId="0" borderId="0" applyFont="0" applyFill="0" applyBorder="0" applyAlignment="0" applyProtection="0"/>
    <xf numFmtId="0" fontId="5" fillId="0" borderId="0"/>
    <xf numFmtId="43" fontId="5"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6" fillId="0" borderId="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568">
    <xf numFmtId="0" fontId="0" fillId="0" borderId="0" xfId="0"/>
    <xf numFmtId="6" fontId="0" fillId="0" borderId="0" xfId="0" applyNumberFormat="1"/>
    <xf numFmtId="0" fontId="8" fillId="2" borderId="4"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5" xfId="0" applyFont="1" applyBorder="1" applyAlignment="1">
      <alignment horizontal="center" wrapText="1"/>
    </xf>
    <xf numFmtId="0" fontId="8" fillId="0" borderId="5"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44" fontId="9" fillId="11" borderId="5" xfId="1" applyFont="1" applyFill="1" applyBorder="1" applyAlignment="1" applyProtection="1">
      <alignment horizontal="center" vertical="center" wrapText="1"/>
    </xf>
    <xf numFmtId="0" fontId="9" fillId="0" borderId="5" xfId="0" applyFont="1" applyBorder="1" applyAlignment="1" applyProtection="1">
      <alignment horizontal="justify" vertical="center" wrapText="1"/>
      <protection locked="0"/>
    </xf>
    <xf numFmtId="0" fontId="9" fillId="12" borderId="5" xfId="0" applyFont="1" applyFill="1" applyBorder="1" applyAlignment="1" applyProtection="1">
      <alignment horizontal="center" vertical="center"/>
      <protection locked="0"/>
    </xf>
    <xf numFmtId="0" fontId="9" fillId="12" borderId="5" xfId="0" applyFont="1" applyFill="1" applyBorder="1" applyAlignment="1" applyProtection="1">
      <alignment horizontal="center" vertical="center" wrapText="1"/>
      <protection locked="0"/>
    </xf>
    <xf numFmtId="6" fontId="9" fillId="0" borderId="2" xfId="0" applyNumberFormat="1" applyFont="1" applyBorder="1" applyAlignment="1">
      <alignment horizontal="center" vertical="center" wrapText="1"/>
    </xf>
    <xf numFmtId="0" fontId="9" fillId="14" borderId="2"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0" borderId="0" xfId="0" applyFont="1" applyProtection="1">
      <protection locked="0"/>
    </xf>
    <xf numFmtId="0" fontId="9" fillId="0" borderId="4" xfId="0" applyFont="1" applyBorder="1" applyAlignment="1" applyProtection="1">
      <alignment horizontal="center" vertical="center"/>
      <protection locked="0"/>
    </xf>
    <xf numFmtId="0" fontId="9" fillId="0" borderId="4" xfId="0" applyFont="1" applyBorder="1" applyAlignment="1">
      <alignment horizontal="center" wrapText="1"/>
    </xf>
    <xf numFmtId="0" fontId="8" fillId="0" borderId="4"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4" xfId="0" applyFont="1" applyBorder="1" applyProtection="1">
      <protection locked="0"/>
    </xf>
    <xf numFmtId="0" fontId="9" fillId="15" borderId="4"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0" borderId="4" xfId="0" applyFont="1" applyBorder="1" applyAlignment="1" applyProtection="1">
      <alignment vertical="center"/>
      <protection locked="0"/>
    </xf>
    <xf numFmtId="0" fontId="9" fillId="0" borderId="4" xfId="0" applyFont="1" applyBorder="1" applyAlignment="1" applyProtection="1">
      <alignment vertical="center" wrapText="1"/>
      <protection locked="0"/>
    </xf>
    <xf numFmtId="44" fontId="9" fillId="11" borderId="4" xfId="1" applyFont="1" applyFill="1" applyBorder="1" applyAlignment="1" applyProtection="1">
      <alignment horizontal="center" vertical="center" wrapText="1"/>
    </xf>
    <xf numFmtId="0" fontId="9" fillId="12" borderId="4" xfId="0" applyFont="1" applyFill="1" applyBorder="1" applyAlignment="1" applyProtection="1">
      <alignment horizontal="center" vertical="center"/>
      <protection locked="0"/>
    </xf>
    <xf numFmtId="166" fontId="9" fillId="0" borderId="4" xfId="0" applyNumberFormat="1" applyFont="1" applyBorder="1" applyProtection="1">
      <protection locked="0"/>
    </xf>
    <xf numFmtId="0" fontId="8" fillId="17" borderId="4" xfId="0" applyFont="1" applyFill="1" applyBorder="1" applyAlignment="1" applyProtection="1">
      <alignment horizontal="center" vertical="center" wrapText="1"/>
      <protection locked="0"/>
    </xf>
    <xf numFmtId="0" fontId="8" fillId="18" borderId="4" xfId="0" applyFont="1" applyFill="1" applyBorder="1" applyAlignment="1" applyProtection="1">
      <alignment horizontal="center" vertical="center"/>
      <protection locked="0"/>
    </xf>
    <xf numFmtId="0" fontId="8" fillId="19" borderId="4" xfId="0" applyFont="1" applyFill="1" applyBorder="1" applyAlignment="1" applyProtection="1">
      <alignment horizontal="center" vertical="center" wrapText="1"/>
      <protection locked="0"/>
    </xf>
    <xf numFmtId="0" fontId="8" fillId="0" borderId="0" xfId="0" applyFont="1" applyAlignment="1">
      <alignment vertical="center"/>
    </xf>
    <xf numFmtId="0" fontId="9" fillId="0" borderId="0" xfId="0" applyFont="1" applyAlignment="1" applyProtection="1">
      <alignment horizontal="center" vertical="center"/>
      <protection locked="0"/>
    </xf>
    <xf numFmtId="44" fontId="9" fillId="11" borderId="4" xfId="1" applyFont="1" applyFill="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6" fontId="9" fillId="0" borderId="4" xfId="0" applyNumberFormat="1"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17"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18" borderId="4" xfId="0" applyFont="1" applyFill="1" applyBorder="1" applyAlignment="1">
      <alignment horizontal="center" vertical="center"/>
    </xf>
    <xf numFmtId="0" fontId="9" fillId="12" borderId="4"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pplyProtection="1">
      <alignment horizontal="center" vertical="center"/>
      <protection locked="0"/>
    </xf>
    <xf numFmtId="0" fontId="9" fillId="12" borderId="6" xfId="0" applyFont="1" applyFill="1" applyBorder="1" applyAlignment="1" applyProtection="1">
      <alignment horizontal="center" vertical="center"/>
      <protection locked="0"/>
    </xf>
    <xf numFmtId="0" fontId="9" fillId="0" borderId="3" xfId="0" applyFont="1" applyBorder="1" applyAlignment="1">
      <alignment horizontal="center" vertical="center" wrapText="1"/>
    </xf>
    <xf numFmtId="6" fontId="8" fillId="0" borderId="8" xfId="1" applyNumberFormat="1" applyFont="1" applyFill="1" applyBorder="1" applyAlignment="1" applyProtection="1">
      <alignment horizontal="center" vertical="center" wrapText="1"/>
      <protection locked="0"/>
    </xf>
    <xf numFmtId="0" fontId="9" fillId="0" borderId="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44" fontId="9" fillId="11" borderId="4" xfId="1" applyFont="1" applyFill="1" applyBorder="1" applyAlignment="1" applyProtection="1">
      <alignment horizontal="left" vertical="center" wrapText="1"/>
    </xf>
    <xf numFmtId="0" fontId="9" fillId="12" borderId="4" xfId="0" applyFont="1" applyFill="1" applyBorder="1" applyAlignment="1" applyProtection="1">
      <alignment horizontal="left" vertical="center"/>
      <protection locked="0"/>
    </xf>
    <xf numFmtId="0" fontId="8" fillId="18" borderId="5" xfId="0" applyFont="1" applyFill="1" applyBorder="1" applyAlignment="1" applyProtection="1">
      <alignment horizontal="left" vertical="center"/>
      <protection locked="0"/>
    </xf>
    <xf numFmtId="0" fontId="8" fillId="19" borderId="4" xfId="0" applyFont="1" applyFill="1" applyBorder="1" applyAlignment="1" applyProtection="1">
      <alignment horizontal="left" vertical="center" wrapText="1"/>
      <protection locked="0"/>
    </xf>
    <xf numFmtId="44" fontId="9" fillId="0" borderId="4" xfId="0" applyNumberFormat="1" applyFont="1" applyBorder="1" applyAlignment="1" applyProtection="1">
      <alignment horizontal="center" vertical="center"/>
      <protection locked="0"/>
    </xf>
    <xf numFmtId="0" fontId="9" fillId="20" borderId="4" xfId="0" applyFont="1" applyFill="1" applyBorder="1" applyAlignment="1">
      <alignment horizontal="center" vertical="center" wrapText="1"/>
    </xf>
    <xf numFmtId="0" fontId="8" fillId="19" borderId="7" xfId="0" applyFont="1" applyFill="1" applyBorder="1" applyAlignment="1" applyProtection="1">
      <alignment horizontal="center" vertical="center" wrapText="1"/>
      <protection locked="0"/>
    </xf>
    <xf numFmtId="0" fontId="8" fillId="2" borderId="4" xfId="0" applyFont="1" applyFill="1" applyBorder="1" applyAlignment="1">
      <alignment horizontal="center" vertical="center" wrapText="1"/>
    </xf>
    <xf numFmtId="6" fontId="8" fillId="2" borderId="4" xfId="1" applyNumberFormat="1" applyFont="1" applyFill="1" applyBorder="1" applyAlignment="1" applyProtection="1">
      <alignment horizontal="right" vertical="center" wrapText="1"/>
      <protection locked="0"/>
    </xf>
    <xf numFmtId="49" fontId="9" fillId="12" borderId="4" xfId="3" applyFont="1" applyFill="1" applyBorder="1" applyAlignment="1" applyProtection="1">
      <alignment horizontal="center" vertical="center" wrapText="1"/>
      <protection locked="0"/>
    </xf>
    <xf numFmtId="0" fontId="9" fillId="12" borderId="4" xfId="0" applyFont="1" applyFill="1" applyBorder="1" applyAlignment="1">
      <alignment horizontal="center" vertical="center"/>
    </xf>
    <xf numFmtId="0" fontId="8" fillId="0" borderId="4" xfId="0" applyFont="1" applyBorder="1" applyAlignment="1">
      <alignment horizontal="left" vertical="center"/>
    </xf>
    <xf numFmtId="0" fontId="8" fillId="19" borderId="4" xfId="0" applyFont="1" applyFill="1" applyBorder="1" applyAlignment="1">
      <alignment horizontal="center" vertical="center" wrapText="1"/>
    </xf>
    <xf numFmtId="0" fontId="8" fillId="19" borderId="4" xfId="0" applyFont="1" applyFill="1" applyBorder="1" applyAlignment="1">
      <alignment horizontal="left" vertical="center" wrapText="1"/>
    </xf>
    <xf numFmtId="6" fontId="8" fillId="0" borderId="8" xfId="1" applyNumberFormat="1" applyFont="1" applyFill="1" applyBorder="1" applyAlignment="1" applyProtection="1">
      <alignment horizontal="right" vertical="center" wrapText="1"/>
      <protection locked="0"/>
    </xf>
    <xf numFmtId="6" fontId="8" fillId="2" borderId="8" xfId="1" applyNumberFormat="1" applyFont="1" applyFill="1" applyBorder="1" applyAlignment="1" applyProtection="1">
      <alignment horizontal="center" vertical="center" wrapText="1"/>
      <protection locked="0"/>
    </xf>
    <xf numFmtId="49" fontId="9" fillId="0" borderId="5" xfId="3" applyFont="1" applyBorder="1" applyAlignment="1" applyProtection="1">
      <alignment horizontal="center" vertical="center"/>
    </xf>
    <xf numFmtId="0" fontId="9" fillId="12" borderId="5" xfId="0" applyFont="1" applyFill="1" applyBorder="1" applyAlignment="1">
      <alignment horizontal="center" vertical="center"/>
    </xf>
    <xf numFmtId="0" fontId="9" fillId="0" borderId="0" xfId="0" applyFont="1" applyAlignment="1" applyProtection="1">
      <alignment vertical="center"/>
      <protection locked="0"/>
    </xf>
    <xf numFmtId="49" fontId="9" fillId="0" borderId="4" xfId="3" applyFont="1" applyBorder="1" applyAlignment="1" applyProtection="1">
      <alignment horizontal="center" vertical="center"/>
    </xf>
    <xf numFmtId="0" fontId="8" fillId="0" borderId="4" xfId="0" applyFont="1" applyBorder="1" applyAlignment="1" applyProtection="1">
      <alignment horizontal="center" vertical="center"/>
      <protection locked="0"/>
    </xf>
    <xf numFmtId="0" fontId="8" fillId="12" borderId="4"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0" fillId="8" borderId="4" xfId="2" applyFont="1" applyFill="1" applyBorder="1" applyAlignment="1" applyProtection="1">
      <alignment horizontal="center" vertical="center" wrapText="1"/>
    </xf>
    <xf numFmtId="0" fontId="10" fillId="5" borderId="4" xfId="2" applyFont="1" applyFill="1" applyBorder="1" applyAlignment="1" applyProtection="1">
      <alignment horizontal="center" vertical="center" wrapText="1"/>
    </xf>
    <xf numFmtId="164" fontId="10" fillId="5" borderId="4" xfId="1" applyNumberFormat="1" applyFont="1" applyFill="1" applyBorder="1" applyAlignment="1" applyProtection="1">
      <alignment horizontal="center" vertical="center" wrapText="1"/>
      <protection locked="0"/>
    </xf>
    <xf numFmtId="0" fontId="10" fillId="13" borderId="4" xfId="2" applyFont="1" applyFill="1" applyBorder="1" applyAlignment="1" applyProtection="1">
      <alignment horizontal="center" vertical="center" wrapText="1"/>
    </xf>
    <xf numFmtId="0" fontId="8" fillId="5" borderId="4" xfId="2" applyFont="1" applyFill="1" applyBorder="1" applyAlignment="1" applyProtection="1">
      <alignment horizontal="center" vertical="center" wrapText="1"/>
    </xf>
    <xf numFmtId="3" fontId="10" fillId="9" borderId="4" xfId="0" applyNumberFormat="1" applyFont="1" applyFill="1" applyBorder="1" applyAlignment="1" applyProtection="1">
      <alignment horizontal="center" vertical="center" wrapText="1"/>
      <protection locked="0"/>
    </xf>
    <xf numFmtId="3" fontId="10" fillId="10" borderId="4" xfId="0"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0" fontId="8" fillId="0" borderId="0" xfId="0" applyFont="1" applyAlignment="1">
      <alignment horizontal="left" vertical="center"/>
    </xf>
    <xf numFmtId="164" fontId="8" fillId="0" borderId="0" xfId="1" applyNumberFormat="1" applyFont="1" applyFill="1" applyAlignment="1">
      <alignment horizontal="right" vertical="center"/>
    </xf>
    <xf numFmtId="164" fontId="8" fillId="0" borderId="0" xfId="1" applyNumberFormat="1" applyFont="1" applyAlignment="1">
      <alignment horizontal="center" vertical="center"/>
    </xf>
    <xf numFmtId="0" fontId="8" fillId="0" borderId="0" xfId="0" applyFont="1" applyAlignment="1">
      <alignment vertical="center" wrapText="1"/>
    </xf>
    <xf numFmtId="49" fontId="8" fillId="0" borderId="5" xfId="3" applyFont="1" applyBorder="1" applyAlignment="1" applyProtection="1">
      <alignment horizontal="center" vertical="center"/>
      <protection locked="0"/>
    </xf>
    <xf numFmtId="0" fontId="8" fillId="12" borderId="5" xfId="0" applyFont="1" applyFill="1" applyBorder="1" applyAlignment="1" applyProtection="1">
      <alignment horizontal="center" vertical="center"/>
      <protection locked="0"/>
    </xf>
    <xf numFmtId="0" fontId="8" fillId="12" borderId="4"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8" fillId="0" borderId="6" xfId="0" applyFont="1" applyBorder="1" applyAlignment="1" applyProtection="1">
      <alignment horizontal="center" vertical="center" wrapText="1"/>
      <protection locked="0"/>
    </xf>
    <xf numFmtId="0" fontId="8" fillId="21" borderId="5" xfId="0" applyFont="1" applyFill="1" applyBorder="1" applyAlignment="1">
      <alignment horizontal="center" vertical="center" wrapText="1"/>
    </xf>
    <xf numFmtId="6" fontId="8" fillId="2" borderId="4" xfId="1" applyNumberFormat="1" applyFont="1" applyFill="1" applyBorder="1" applyAlignment="1" applyProtection="1">
      <alignment horizontal="center" vertical="center" wrapText="1"/>
      <protection locked="0"/>
    </xf>
    <xf numFmtId="6" fontId="8" fillId="2" borderId="8" xfId="1" applyNumberFormat="1" applyFont="1" applyFill="1" applyBorder="1" applyAlignment="1" applyProtection="1">
      <alignment horizontal="center" vertical="center" wrapText="1"/>
    </xf>
    <xf numFmtId="6" fontId="9" fillId="2" borderId="8" xfId="1" applyNumberFormat="1" applyFont="1" applyFill="1" applyBorder="1" applyAlignment="1" applyProtection="1">
      <alignment horizontal="center" vertical="center" wrapText="1"/>
    </xf>
    <xf numFmtId="166" fontId="9" fillId="0" borderId="4" xfId="0" applyNumberFormat="1" applyFont="1" applyBorder="1" applyAlignment="1" applyProtection="1">
      <alignment horizontal="center" vertical="center"/>
      <protection locked="0"/>
    </xf>
    <xf numFmtId="0" fontId="8" fillId="18" borderId="5" xfId="0" applyFont="1" applyFill="1" applyBorder="1" applyAlignment="1">
      <alignment horizontal="center" vertical="center"/>
    </xf>
    <xf numFmtId="44" fontId="0" fillId="0" borderId="0" xfId="0" applyNumberFormat="1"/>
    <xf numFmtId="0" fontId="9" fillId="24" borderId="4" xfId="0" applyFont="1" applyFill="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164" fontId="9" fillId="0" borderId="5" xfId="1" applyNumberFormat="1" applyFont="1" applyFill="1" applyBorder="1" applyAlignment="1" applyProtection="1">
      <alignment horizontal="center" vertical="center"/>
      <protection locked="0"/>
    </xf>
    <xf numFmtId="164" fontId="9" fillId="0" borderId="4" xfId="1" applyNumberFormat="1" applyFont="1" applyFill="1" applyBorder="1" applyAlignment="1" applyProtection="1">
      <alignment horizontal="center" vertical="center"/>
      <protection locked="0"/>
    </xf>
    <xf numFmtId="166" fontId="9" fillId="0" borderId="4" xfId="0" applyNumberFormat="1" applyFont="1" applyBorder="1" applyAlignment="1" applyProtection="1">
      <alignment vertical="center"/>
      <protection locked="0"/>
    </xf>
    <xf numFmtId="0" fontId="9" fillId="0" borderId="4" xfId="0" applyFont="1" applyBorder="1" applyAlignment="1">
      <alignment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6" fontId="8" fillId="0" borderId="9" xfId="0" applyNumberFormat="1" applyFont="1" applyBorder="1" applyAlignment="1">
      <alignment horizontal="center" vertical="center" wrapText="1"/>
    </xf>
    <xf numFmtId="6" fontId="8" fillId="0" borderId="4" xfId="0" applyNumberFormat="1" applyFont="1" applyBorder="1" applyAlignment="1">
      <alignment horizontal="center" vertical="center" wrapText="1"/>
    </xf>
    <xf numFmtId="6" fontId="9" fillId="0" borderId="11" xfId="0" applyNumberFormat="1" applyFont="1" applyBorder="1" applyAlignment="1">
      <alignment horizontal="center" vertical="center" wrapText="1"/>
    </xf>
    <xf numFmtId="6" fontId="9" fillId="0" borderId="13" xfId="0" applyNumberFormat="1" applyFont="1" applyBorder="1" applyAlignment="1">
      <alignment horizontal="center" vertical="center" wrapText="1"/>
    </xf>
    <xf numFmtId="0" fontId="8" fillId="0" borderId="8" xfId="0" quotePrefix="1" applyFont="1" applyBorder="1" applyAlignment="1" applyProtection="1">
      <alignment horizontal="center" vertical="center" wrapText="1"/>
      <protection locked="0"/>
    </xf>
    <xf numFmtId="0" fontId="8" fillId="0" borderId="5" xfId="0" quotePrefix="1" applyFont="1" applyBorder="1" applyAlignment="1" applyProtection="1">
      <alignment horizontal="center" vertical="center" wrapText="1"/>
      <protection locked="0"/>
    </xf>
    <xf numFmtId="6" fontId="8" fillId="0" borderId="4" xfId="0" applyNumberFormat="1" applyFont="1" applyBorder="1" applyAlignment="1" applyProtection="1">
      <alignment horizontal="center" vertical="center" wrapText="1"/>
      <protection locked="0"/>
    </xf>
    <xf numFmtId="6" fontId="9" fillId="0" borderId="4" xfId="0" applyNumberFormat="1" applyFont="1" applyBorder="1" applyAlignment="1" applyProtection="1">
      <alignment horizontal="left" vertical="center"/>
      <protection locked="0"/>
    </xf>
    <xf numFmtId="0" fontId="9" fillId="0" borderId="4" xfId="0" applyFont="1" applyBorder="1" applyAlignment="1">
      <alignment horizontal="left" vertical="center" wrapText="1"/>
    </xf>
    <xf numFmtId="44" fontId="9" fillId="0" borderId="4" xfId="1" applyFont="1" applyFill="1" applyBorder="1" applyAlignment="1" applyProtection="1">
      <alignment horizontal="center" vertical="center"/>
      <protection locked="0"/>
    </xf>
    <xf numFmtId="6" fontId="8" fillId="0" borderId="4" xfId="1" applyNumberFormat="1" applyFont="1" applyFill="1" applyBorder="1" applyAlignment="1" applyProtection="1">
      <alignment horizontal="right" vertical="center" wrapText="1"/>
      <protection locked="0"/>
    </xf>
    <xf numFmtId="49" fontId="8" fillId="0" borderId="4" xfId="0" quotePrefix="1" applyNumberFormat="1" applyFont="1" applyBorder="1" applyAlignment="1" applyProtection="1">
      <alignment horizontal="center" vertical="center" wrapText="1"/>
      <protection locked="0"/>
    </xf>
    <xf numFmtId="0" fontId="8" fillId="0" borderId="4" xfId="0" quotePrefix="1" applyFont="1" applyBorder="1" applyAlignment="1" applyProtection="1">
      <alignment horizontal="center" vertical="center" wrapText="1"/>
      <protection locked="0"/>
    </xf>
    <xf numFmtId="6" fontId="8" fillId="0" borderId="4" xfId="1" applyNumberFormat="1" applyFont="1" applyFill="1" applyBorder="1" applyAlignment="1" applyProtection="1">
      <alignment horizontal="right" vertical="center" wrapText="1"/>
    </xf>
    <xf numFmtId="6" fontId="8" fillId="0" borderId="8" xfId="1" applyNumberFormat="1" applyFont="1" applyFill="1" applyBorder="1" applyAlignment="1" applyProtection="1">
      <alignment horizontal="right" vertical="center" wrapText="1"/>
    </xf>
    <xf numFmtId="6" fontId="9" fillId="0" borderId="8" xfId="1" applyNumberFormat="1" applyFont="1" applyFill="1" applyBorder="1" applyAlignment="1" applyProtection="1">
      <alignment horizontal="right" vertical="center" wrapText="1"/>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9" fillId="0" borderId="4" xfId="0" applyFont="1" applyBorder="1" applyAlignment="1" applyProtection="1">
      <alignment horizontal="left" vertical="top" wrapText="1"/>
      <protection locked="0"/>
    </xf>
    <xf numFmtId="0" fontId="15" fillId="0" borderId="4" xfId="0" applyFont="1" applyBorder="1" applyAlignment="1" applyProtection="1">
      <alignment horizontal="center" vertical="center"/>
      <protection locked="0"/>
    </xf>
    <xf numFmtId="0" fontId="15" fillId="0" borderId="4" xfId="0" applyFont="1" applyBorder="1" applyAlignment="1">
      <alignment vertical="center" wrapText="1"/>
    </xf>
    <xf numFmtId="0" fontId="15" fillId="0" borderId="4" xfId="0" applyFont="1" applyBorder="1" applyAlignment="1" applyProtection="1">
      <alignment vertical="center" wrapText="1"/>
      <protection locked="0"/>
    </xf>
    <xf numFmtId="6" fontId="16" fillId="2" borderId="8" xfId="1" applyNumberFormat="1" applyFont="1" applyFill="1" applyBorder="1" applyAlignment="1" applyProtection="1">
      <alignment horizontal="right" vertical="center" wrapText="1"/>
      <protection locked="0"/>
    </xf>
    <xf numFmtId="0" fontId="15" fillId="2" borderId="4" xfId="0" applyFont="1" applyFill="1" applyBorder="1" applyAlignment="1" applyProtection="1">
      <alignment horizontal="center" vertical="center"/>
      <protection locked="0"/>
    </xf>
    <xf numFmtId="0" fontId="15" fillId="0" borderId="4" xfId="0" applyFont="1" applyBorder="1" applyAlignment="1">
      <alignment horizontal="left" vertical="center" wrapText="1"/>
    </xf>
    <xf numFmtId="0" fontId="15" fillId="0" borderId="0" xfId="0" applyFont="1" applyProtection="1">
      <protection locked="0"/>
    </xf>
    <xf numFmtId="0" fontId="18" fillId="2" borderId="4" xfId="0" applyFont="1" applyFill="1" applyBorder="1" applyAlignment="1">
      <alignment vertical="center" wrapText="1"/>
    </xf>
    <xf numFmtId="0" fontId="15" fillId="0" borderId="4" xfId="0" applyFont="1" applyBorder="1" applyAlignment="1" applyProtection="1">
      <alignment horizontal="left" vertical="center"/>
      <protection locked="0"/>
    </xf>
    <xf numFmtId="44" fontId="15" fillId="11" borderId="4" xfId="1" applyFont="1" applyFill="1" applyBorder="1" applyAlignment="1" applyProtection="1">
      <alignment horizontal="center" vertical="center" wrapText="1"/>
      <protection locked="0"/>
    </xf>
    <xf numFmtId="0" fontId="17" fillId="2" borderId="4" xfId="0" applyFont="1" applyFill="1" applyBorder="1" applyAlignment="1" applyProtection="1">
      <alignment vertical="center" wrapText="1"/>
      <protection locked="0"/>
    </xf>
    <xf numFmtId="0" fontId="15" fillId="12" borderId="4" xfId="0" applyFont="1" applyFill="1" applyBorder="1" applyAlignment="1" applyProtection="1">
      <alignment horizontal="center" vertical="center"/>
      <protection locked="0"/>
    </xf>
    <xf numFmtId="6" fontId="18" fillId="2" borderId="4" xfId="0" applyNumberFormat="1" applyFont="1" applyFill="1" applyBorder="1" applyAlignment="1" applyProtection="1">
      <alignment vertical="center"/>
      <protection locked="0"/>
    </xf>
    <xf numFmtId="0" fontId="18" fillId="18" borderId="4" xfId="0" applyFont="1" applyFill="1" applyBorder="1" applyAlignment="1" applyProtection="1">
      <alignment horizontal="center" vertical="center"/>
      <protection locked="0"/>
    </xf>
    <xf numFmtId="0" fontId="18" fillId="19" borderId="4"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9" fontId="17" fillId="2" borderId="5" xfId="30" applyFont="1" applyFill="1" applyBorder="1" applyAlignment="1" applyProtection="1">
      <alignment vertical="center" wrapText="1"/>
      <protection locked="0"/>
    </xf>
    <xf numFmtId="0" fontId="18" fillId="0" borderId="4" xfId="0" applyFont="1" applyBorder="1" applyAlignment="1">
      <alignment vertical="center" wrapText="1"/>
    </xf>
    <xf numFmtId="6" fontId="20" fillId="2" borderId="8" xfId="1" applyNumberFormat="1" applyFont="1" applyFill="1" applyBorder="1" applyAlignment="1" applyProtection="1">
      <alignment horizontal="right" vertical="center" wrapText="1"/>
      <protection locked="0"/>
    </xf>
    <xf numFmtId="0" fontId="18" fillId="0" borderId="4" xfId="0" applyFont="1" applyBorder="1" applyAlignment="1">
      <alignment horizontal="center" vertical="center" wrapText="1"/>
    </xf>
    <xf numFmtId="0" fontId="18" fillId="21" borderId="4" xfId="0" applyFont="1" applyFill="1" applyBorder="1" applyAlignment="1">
      <alignment horizontal="center" vertical="center" wrapText="1"/>
    </xf>
    <xf numFmtId="0" fontId="19" fillId="0" borderId="4" xfId="31" applyFont="1" applyBorder="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21" fillId="26" borderId="6" xfId="0" applyFont="1" applyFill="1" applyBorder="1" applyAlignment="1" applyProtection="1">
      <alignment horizontal="left" vertical="center" wrapText="1"/>
      <protection locked="0"/>
    </xf>
    <xf numFmtId="164" fontId="18" fillId="0" borderId="6" xfId="1" applyNumberFormat="1" applyFont="1" applyBorder="1" applyAlignment="1" applyProtection="1">
      <alignment vertical="center"/>
      <protection locked="0"/>
    </xf>
    <xf numFmtId="0" fontId="15" fillId="0" borderId="6" xfId="0" applyFont="1" applyBorder="1" applyAlignment="1" applyProtection="1">
      <alignment vertical="center"/>
      <protection locked="0"/>
    </xf>
    <xf numFmtId="0" fontId="15" fillId="0" borderId="6" xfId="0" applyFont="1" applyBorder="1" applyAlignment="1" applyProtection="1">
      <alignment vertical="center" wrapText="1"/>
      <protection locked="0"/>
    </xf>
    <xf numFmtId="0" fontId="15" fillId="0" borderId="6" xfId="0" applyFont="1" applyBorder="1" applyAlignment="1" applyProtection="1">
      <alignment horizontal="center" vertical="center"/>
      <protection locked="0"/>
    </xf>
    <xf numFmtId="44" fontId="15" fillId="11" borderId="6" xfId="1" applyFont="1" applyFill="1" applyBorder="1" applyAlignment="1" applyProtection="1">
      <alignment horizontal="center" vertical="center" wrapText="1"/>
    </xf>
    <xf numFmtId="0" fontId="13" fillId="0" borderId="10" xfId="0" applyFont="1" applyBorder="1" applyAlignment="1">
      <alignment vertical="center" wrapText="1"/>
    </xf>
    <xf numFmtId="0" fontId="13" fillId="27" borderId="1" xfId="0" applyFont="1" applyFill="1" applyBorder="1" applyAlignment="1">
      <alignment horizontal="left" vertical="center" wrapText="1"/>
    </xf>
    <xf numFmtId="0" fontId="21" fillId="0" borderId="1" xfId="0" applyFont="1" applyBorder="1" applyAlignment="1">
      <alignment vertical="center" wrapText="1"/>
    </xf>
    <xf numFmtId="0" fontId="18" fillId="19" borderId="5" xfId="0" applyFont="1" applyFill="1" applyBorder="1" applyAlignment="1" applyProtection="1">
      <alignment horizontal="center" vertical="center" wrapText="1"/>
      <protection locked="0"/>
    </xf>
    <xf numFmtId="0" fontId="18" fillId="19" borderId="16" xfId="0" applyFont="1" applyFill="1" applyBorder="1" applyAlignment="1" applyProtection="1">
      <alignment horizontal="center" vertical="center" wrapText="1"/>
      <protection locked="0"/>
    </xf>
    <xf numFmtId="6" fontId="18" fillId="2" borderId="5" xfId="0" applyNumberFormat="1" applyFont="1" applyFill="1" applyBorder="1" applyAlignment="1" applyProtection="1">
      <alignment horizontal="right" vertical="center"/>
      <protection locked="0"/>
    </xf>
    <xf numFmtId="0" fontId="15" fillId="12" borderId="5" xfId="0" applyFont="1" applyFill="1" applyBorder="1" applyAlignment="1" applyProtection="1">
      <alignment horizontal="center" vertical="center"/>
      <protection locked="0"/>
    </xf>
    <xf numFmtId="0" fontId="15" fillId="12" borderId="16" xfId="0" applyFont="1" applyFill="1" applyBorder="1" applyAlignment="1" applyProtection="1">
      <alignment horizontal="center" vertical="center"/>
      <protection locked="0"/>
    </xf>
    <xf numFmtId="44" fontId="15" fillId="11" borderId="16" xfId="1" applyFont="1" applyFill="1" applyBorder="1" applyAlignment="1" applyProtection="1">
      <alignment horizontal="center" vertical="center" wrapText="1"/>
    </xf>
    <xf numFmtId="0" fontId="15" fillId="0" borderId="16" xfId="0" applyFont="1" applyBorder="1" applyAlignment="1" applyProtection="1">
      <alignment horizontal="center" vertical="center" wrapText="1"/>
      <protection locked="0"/>
    </xf>
    <xf numFmtId="0" fontId="15" fillId="12" borderId="5" xfId="0" applyFont="1" applyFill="1" applyBorder="1" applyAlignment="1" applyProtection="1">
      <alignment horizontal="left" vertical="center"/>
      <protection locked="0"/>
    </xf>
    <xf numFmtId="0" fontId="15" fillId="12" borderId="16" xfId="0" applyFont="1" applyFill="1" applyBorder="1" applyAlignment="1" applyProtection="1">
      <alignment horizontal="left" vertical="center"/>
      <protection locked="0"/>
    </xf>
    <xf numFmtId="0" fontId="18" fillId="0" borderId="5" xfId="0" applyFont="1" applyBorder="1" applyAlignment="1">
      <alignment horizontal="center" vertical="center" wrapText="1"/>
    </xf>
    <xf numFmtId="0" fontId="18" fillId="0" borderId="16" xfId="0" applyFont="1" applyBorder="1" applyAlignment="1">
      <alignment horizontal="center" vertical="center" wrapText="1"/>
    </xf>
    <xf numFmtId="0" fontId="18" fillId="21" borderId="5" xfId="0" applyFont="1" applyFill="1" applyBorder="1" applyAlignment="1">
      <alignment horizontal="center" vertical="center" wrapText="1"/>
    </xf>
    <xf numFmtId="0" fontId="18" fillId="21" borderId="16" xfId="0" applyFont="1" applyFill="1" applyBorder="1" applyAlignment="1">
      <alignment horizontal="center" vertical="center" wrapText="1"/>
    </xf>
    <xf numFmtId="44" fontId="15" fillId="11" borderId="5" xfId="1" applyFont="1" applyFill="1" applyBorder="1" applyAlignment="1" applyProtection="1">
      <alignment horizontal="center" vertical="center" wrapText="1"/>
      <protection locked="0"/>
    </xf>
    <xf numFmtId="0" fontId="13" fillId="25" borderId="5" xfId="0" applyFont="1" applyFill="1" applyBorder="1" applyAlignment="1" applyProtection="1">
      <alignment horizontal="center" vertical="center" wrapText="1"/>
      <protection locked="0"/>
    </xf>
    <xf numFmtId="0" fontId="19" fillId="0" borderId="5" xfId="31" applyFont="1" applyBorder="1" applyAlignment="1">
      <alignment horizontal="center" vertical="center" wrapText="1"/>
    </xf>
    <xf numFmtId="0" fontId="18" fillId="18" borderId="5" xfId="0" applyFont="1" applyFill="1" applyBorder="1" applyAlignment="1" applyProtection="1">
      <alignment horizontal="center" vertical="center"/>
      <protection locked="0"/>
    </xf>
    <xf numFmtId="6" fontId="18" fillId="2" borderId="20" xfId="1" applyNumberFormat="1"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5" fillId="0" borderId="0" xfId="0" applyFont="1" applyAlignment="1" applyProtection="1">
      <alignment horizontal="center" wrapText="1"/>
      <protection locked="0"/>
    </xf>
    <xf numFmtId="0" fontId="18" fillId="2" borderId="5" xfId="0" applyFont="1" applyFill="1" applyBorder="1" applyAlignment="1" applyProtection="1">
      <alignment horizontal="center" vertical="center" wrapText="1"/>
      <protection locked="0"/>
    </xf>
    <xf numFmtId="0" fontId="9" fillId="0" borderId="21" xfId="0" applyFont="1" applyBorder="1" applyAlignment="1" applyProtection="1">
      <alignment vertical="center"/>
      <protection locked="0"/>
    </xf>
    <xf numFmtId="0" fontId="9" fillId="0" borderId="21" xfId="0" applyFont="1" applyBorder="1" applyAlignment="1" applyProtection="1">
      <alignment horizontal="center" vertical="center" wrapText="1"/>
      <protection locked="0"/>
    </xf>
    <xf numFmtId="0" fontId="9" fillId="0" borderId="21" xfId="0" applyFont="1" applyBorder="1" applyAlignment="1" applyProtection="1">
      <alignment vertical="center" wrapText="1"/>
      <protection locked="0"/>
    </xf>
    <xf numFmtId="166" fontId="9" fillId="0" borderId="21" xfId="0" applyNumberFormat="1" applyFont="1" applyBorder="1" applyAlignment="1" applyProtection="1">
      <alignment vertical="center"/>
      <protection locked="0"/>
    </xf>
    <xf numFmtId="0" fontId="9" fillId="0" borderId="21" xfId="0" applyFont="1" applyBorder="1" applyAlignment="1" applyProtection="1">
      <alignment horizontal="center" vertical="center"/>
      <protection locked="0"/>
    </xf>
    <xf numFmtId="0" fontId="9" fillId="0" borderId="21" xfId="0" applyFont="1" applyBorder="1" applyAlignment="1">
      <alignment vertical="center" wrapText="1"/>
    </xf>
    <xf numFmtId="44" fontId="9" fillId="11" borderId="21" xfId="1" applyFont="1" applyFill="1" applyBorder="1" applyAlignment="1" applyProtection="1">
      <alignment horizontal="center" vertical="center" wrapText="1"/>
      <protection locked="0"/>
    </xf>
    <xf numFmtId="0" fontId="9" fillId="12" borderId="21" xfId="0" applyFont="1" applyFill="1" applyBorder="1" applyAlignment="1" applyProtection="1">
      <alignment horizontal="center" vertical="center"/>
      <protection locked="0"/>
    </xf>
    <xf numFmtId="0" fontId="9" fillId="12" borderId="21" xfId="0" applyFont="1" applyFill="1" applyBorder="1" applyAlignment="1" applyProtection="1">
      <alignment horizontal="center" vertical="center" wrapText="1"/>
      <protection locked="0"/>
    </xf>
    <xf numFmtId="166" fontId="9" fillId="0" borderId="21" xfId="0" applyNumberFormat="1" applyFont="1" applyBorder="1" applyAlignment="1" applyProtection="1">
      <alignment horizontal="center" vertical="center"/>
      <protection locked="0"/>
    </xf>
    <xf numFmtId="0" fontId="8" fillId="18" borderId="21" xfId="0" applyFont="1" applyFill="1" applyBorder="1" applyAlignment="1" applyProtection="1">
      <alignment horizontal="center" vertical="center"/>
      <protection locked="0"/>
    </xf>
    <xf numFmtId="0" fontId="8" fillId="19" borderId="21" xfId="0" applyFont="1" applyFill="1" applyBorder="1" applyAlignment="1" applyProtection="1">
      <alignment horizontal="center" vertical="center" wrapText="1"/>
      <protection locked="0"/>
    </xf>
    <xf numFmtId="0" fontId="22" fillId="18" borderId="22" xfId="0" applyFont="1" applyFill="1" applyBorder="1" applyAlignment="1" applyProtection="1">
      <alignment horizontal="center" vertical="center" wrapText="1"/>
      <protection locked="0"/>
    </xf>
    <xf numFmtId="0" fontId="22" fillId="18" borderId="22" xfId="0" applyFont="1" applyFill="1" applyBorder="1" applyAlignment="1" applyProtection="1">
      <alignment horizontal="center" vertical="center"/>
      <protection locked="0"/>
    </xf>
    <xf numFmtId="0" fontId="21" fillId="0" borderId="22"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1" fillId="19" borderId="22" xfId="0" applyFont="1" applyFill="1" applyBorder="1" applyAlignment="1" applyProtection="1">
      <alignment horizontal="center" vertical="center" wrapText="1"/>
      <protection locked="0"/>
    </xf>
    <xf numFmtId="0" fontId="22" fillId="17" borderId="22" xfId="0"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15" fillId="0" borderId="21" xfId="0" applyFont="1" applyBorder="1" applyAlignment="1" applyProtection="1">
      <alignment horizontal="center" vertical="center"/>
      <protection locked="0"/>
    </xf>
    <xf numFmtId="0" fontId="15" fillId="12" borderId="21"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5" fillId="0" borderId="21" xfId="0" applyFont="1" applyBorder="1" applyAlignment="1">
      <alignment horizontal="center" vertical="center" wrapText="1"/>
    </xf>
    <xf numFmtId="0" fontId="15" fillId="0" borderId="21" xfId="0" applyFont="1" applyBorder="1" applyAlignment="1" applyProtection="1">
      <alignment horizontal="center" vertical="center" wrapText="1"/>
      <protection locked="0"/>
    </xf>
    <xf numFmtId="44" fontId="15" fillId="11" borderId="21" xfId="1" applyFont="1" applyFill="1" applyBorder="1" applyAlignment="1" applyProtection="1">
      <alignment horizontal="center" vertical="center" wrapText="1"/>
    </xf>
    <xf numFmtId="0" fontId="18" fillId="12" borderId="21" xfId="0" applyFont="1" applyFill="1" applyBorder="1" applyAlignment="1" applyProtection="1">
      <alignment horizontal="center" vertical="center"/>
      <protection locked="0"/>
    </xf>
    <xf numFmtId="166" fontId="18" fillId="0" borderId="5" xfId="0" applyNumberFormat="1" applyFont="1" applyBorder="1" applyAlignment="1" applyProtection="1">
      <alignment horizontal="center" vertical="center"/>
      <protection locked="0"/>
    </xf>
    <xf numFmtId="49" fontId="18" fillId="0" borderId="5" xfId="3" applyFont="1" applyBorder="1" applyAlignment="1" applyProtection="1">
      <alignment horizontal="center" vertical="center"/>
      <protection locked="0"/>
    </xf>
    <xf numFmtId="0" fontId="18" fillId="21"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25" fillId="0" borderId="5" xfId="31"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protection locked="0"/>
    </xf>
    <xf numFmtId="0" fontId="18" fillId="19" borderId="2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164" fontId="15" fillId="0" borderId="21" xfId="1" applyNumberFormat="1" applyFont="1" applyBorder="1" applyAlignment="1" applyProtection="1">
      <alignment horizontal="center" vertical="center"/>
      <protection locked="0"/>
    </xf>
    <xf numFmtId="166" fontId="18" fillId="0" borderId="21" xfId="0" applyNumberFormat="1" applyFont="1" applyBorder="1" applyAlignment="1" applyProtection="1">
      <alignment horizontal="center" vertical="center"/>
      <protection locked="0"/>
    </xf>
    <xf numFmtId="49" fontId="18" fillId="0" borderId="21" xfId="3" applyFont="1" applyBorder="1" applyAlignment="1" applyProtection="1">
      <alignment horizontal="center" vertical="center"/>
      <protection locked="0"/>
    </xf>
    <xf numFmtId="0" fontId="18" fillId="21" borderId="21" xfId="0" applyFont="1" applyFill="1" applyBorder="1" applyAlignment="1" applyProtection="1">
      <alignment horizontal="center" vertical="center" wrapText="1"/>
      <protection locked="0"/>
    </xf>
    <xf numFmtId="0" fontId="18" fillId="0" borderId="21" xfId="0" applyFont="1" applyBorder="1" applyAlignment="1" applyProtection="1">
      <alignment horizontal="center" vertical="center"/>
      <protection locked="0"/>
    </xf>
    <xf numFmtId="0" fontId="25" fillId="0" borderId="21" xfId="31" applyFont="1" applyFill="1" applyBorder="1" applyAlignment="1" applyProtection="1">
      <alignment horizontal="center" vertical="center"/>
      <protection locked="0"/>
    </xf>
    <xf numFmtId="3" fontId="18" fillId="22" borderId="7" xfId="0" applyNumberFormat="1" applyFont="1" applyFill="1" applyBorder="1" applyAlignment="1" applyProtection="1">
      <alignment horizontal="center" vertical="center" wrapText="1"/>
      <protection locked="0"/>
    </xf>
    <xf numFmtId="3" fontId="18" fillId="22" borderId="21" xfId="0" applyNumberFormat="1"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44" fontId="15" fillId="11" borderId="21" xfId="1" applyFont="1" applyFill="1" applyBorder="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18" fillId="29" borderId="5" xfId="0" applyFont="1" applyFill="1" applyBorder="1" applyAlignment="1" applyProtection="1">
      <alignment horizontal="center" vertical="center" wrapText="1"/>
      <protection locked="0"/>
    </xf>
    <xf numFmtId="0" fontId="18" fillId="29" borderId="21" xfId="0" applyFont="1" applyFill="1" applyBorder="1" applyAlignment="1" applyProtection="1">
      <alignment horizontal="center" vertical="center" wrapText="1"/>
      <protection locked="0"/>
    </xf>
    <xf numFmtId="49" fontId="18" fillId="2" borderId="6" xfId="0" quotePrefix="1" applyNumberFormat="1"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164" fontId="15" fillId="0" borderId="21" xfId="1" applyNumberFormat="1" applyFont="1" applyFill="1" applyBorder="1" applyAlignment="1" applyProtection="1">
      <alignment horizontal="center" vertical="center"/>
      <protection locked="0"/>
    </xf>
    <xf numFmtId="0" fontId="26" fillId="0" borderId="25" xfId="0" applyFont="1" applyBorder="1" applyAlignment="1">
      <alignment horizontal="center" vertical="center" wrapText="1"/>
    </xf>
    <xf numFmtId="6" fontId="18" fillId="2" borderId="26" xfId="0" applyNumberFormat="1" applyFont="1" applyFill="1" applyBorder="1" applyAlignment="1" applyProtection="1">
      <alignment horizontal="right" vertical="center"/>
      <protection locked="0"/>
    </xf>
    <xf numFmtId="0" fontId="18" fillId="0" borderId="27" xfId="0" applyFont="1" applyBorder="1" applyAlignment="1" applyProtection="1">
      <alignment horizontal="center" vertical="center" wrapText="1"/>
      <protection locked="0"/>
    </xf>
    <xf numFmtId="0" fontId="15" fillId="0" borderId="27" xfId="0" applyFont="1" applyBorder="1" applyAlignment="1">
      <alignment horizontal="center" vertical="center" wrapText="1"/>
    </xf>
    <xf numFmtId="0" fontId="15" fillId="12" borderId="27" xfId="0" applyFont="1" applyFill="1" applyBorder="1" applyAlignment="1" applyProtection="1">
      <alignment horizontal="center" vertical="center"/>
      <protection locked="0"/>
    </xf>
    <xf numFmtId="0" fontId="18" fillId="0" borderId="27" xfId="0" applyFont="1" applyBorder="1" applyAlignment="1" applyProtection="1">
      <alignment horizontal="left" vertical="center"/>
      <protection locked="0"/>
    </xf>
    <xf numFmtId="0" fontId="18" fillId="17" borderId="27" xfId="0" applyFont="1" applyFill="1" applyBorder="1" applyAlignment="1" applyProtection="1">
      <alignment horizontal="center" vertical="center" wrapText="1"/>
      <protection locked="0"/>
    </xf>
    <xf numFmtId="0" fontId="18" fillId="0" borderId="27"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18" fillId="18" borderId="27" xfId="0" applyFont="1" applyFill="1" applyBorder="1" applyAlignment="1" applyProtection="1">
      <alignment horizontal="center" vertical="center"/>
      <protection locked="0"/>
    </xf>
    <xf numFmtId="0" fontId="18" fillId="19" borderId="27" xfId="0" applyFont="1" applyFill="1" applyBorder="1" applyAlignment="1" applyProtection="1">
      <alignment horizontal="center" vertical="center" wrapText="1"/>
      <protection locked="0"/>
    </xf>
    <xf numFmtId="0" fontId="18" fillId="19" borderId="27"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6" fontId="18" fillId="2" borderId="27" xfId="0" applyNumberFormat="1" applyFont="1" applyFill="1" applyBorder="1" applyAlignment="1" applyProtection="1">
      <alignment horizontal="right" vertical="center" wrapText="1"/>
      <protection locked="0"/>
    </xf>
    <xf numFmtId="6" fontId="18" fillId="2" borderId="27" xfId="1" applyNumberFormat="1" applyFont="1" applyFill="1" applyBorder="1" applyAlignment="1" applyProtection="1">
      <alignment horizontal="right" vertical="center" wrapText="1"/>
      <protection locked="0"/>
    </xf>
    <xf numFmtId="0" fontId="15" fillId="0" borderId="27" xfId="0" applyFont="1" applyBorder="1" applyAlignment="1" applyProtection="1">
      <alignment horizontal="center" vertical="center"/>
      <protection locked="0"/>
    </xf>
    <xf numFmtId="6" fontId="18" fillId="2" borderId="29" xfId="1" applyNumberFormat="1" applyFont="1" applyFill="1" applyBorder="1" applyAlignment="1" applyProtection="1">
      <alignment horizontal="right" vertical="center" wrapText="1"/>
      <protection locked="0"/>
    </xf>
    <xf numFmtId="49" fontId="18" fillId="2" borderId="28" xfId="0" quotePrefix="1" applyNumberFormat="1" applyFont="1" applyFill="1" applyBorder="1" applyAlignment="1" applyProtection="1">
      <alignment horizontal="center" vertical="center" wrapText="1"/>
      <protection locked="0"/>
    </xf>
    <xf numFmtId="6" fontId="18" fillId="2" borderId="28" xfId="1" applyNumberFormat="1" applyFont="1" applyFill="1" applyBorder="1" applyAlignment="1" applyProtection="1">
      <alignment horizontal="center" vertical="center" wrapText="1"/>
      <protection locked="0"/>
    </xf>
    <xf numFmtId="6" fontId="13" fillId="0" borderId="28" xfId="0" applyNumberFormat="1" applyFont="1" applyBorder="1" applyAlignment="1" applyProtection="1">
      <alignment horizontal="center" vertical="center" wrapText="1"/>
      <protection locked="0"/>
    </xf>
    <xf numFmtId="44" fontId="15" fillId="11" borderId="28" xfId="1" applyFont="1" applyFill="1" applyBorder="1" applyAlignment="1" applyProtection="1">
      <alignment horizontal="center" vertical="center" wrapText="1"/>
    </xf>
    <xf numFmtId="0" fontId="15" fillId="0" borderId="28" xfId="0" applyFont="1" applyBorder="1" applyAlignment="1" applyProtection="1">
      <alignment horizontal="center" vertical="center" wrapText="1"/>
      <protection locked="0"/>
    </xf>
    <xf numFmtId="0" fontId="18" fillId="2" borderId="28"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wrapText="1"/>
      <protection locked="0"/>
    </xf>
    <xf numFmtId="49" fontId="15" fillId="12" borderId="28" xfId="3"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protection locked="0"/>
    </xf>
    <xf numFmtId="0" fontId="21" fillId="2" borderId="28" xfId="0" quotePrefix="1" applyFont="1" applyFill="1" applyBorder="1" applyAlignment="1" applyProtection="1">
      <alignment horizontal="center" vertical="center" wrapText="1"/>
      <protection locked="0"/>
    </xf>
    <xf numFmtId="164" fontId="15" fillId="2" borderId="27" xfId="1" applyNumberFormat="1" applyFont="1" applyFill="1" applyBorder="1" applyAlignment="1" applyProtection="1">
      <alignment horizontal="right" vertical="center" wrapText="1"/>
      <protection locked="0"/>
    </xf>
    <xf numFmtId="44" fontId="15" fillId="11" borderId="27" xfId="1" applyFont="1" applyFill="1" applyBorder="1" applyAlignment="1" applyProtection="1">
      <alignment horizontal="center" vertical="center" wrapText="1"/>
    </xf>
    <xf numFmtId="0" fontId="15" fillId="12" borderId="27" xfId="0" applyFont="1" applyFill="1" applyBorder="1" applyAlignment="1" applyProtection="1">
      <alignment horizontal="center" vertical="center" wrapText="1"/>
      <protection locked="0"/>
    </xf>
    <xf numFmtId="164" fontId="15" fillId="0" borderId="27" xfId="0" applyNumberFormat="1" applyFont="1" applyBorder="1" applyAlignment="1" applyProtection="1">
      <alignment horizontal="center" vertical="center"/>
      <protection locked="0"/>
    </xf>
    <xf numFmtId="6" fontId="18" fillId="2" borderId="26" xfId="1" applyNumberFormat="1" applyFont="1" applyFill="1" applyBorder="1" applyAlignment="1" applyProtection="1">
      <alignment horizontal="right" vertical="center" wrapText="1"/>
      <protection locked="0"/>
    </xf>
    <xf numFmtId="44" fontId="15" fillId="11" borderId="27" xfId="1"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protection locked="0"/>
    </xf>
    <xf numFmtId="44" fontId="27" fillId="11" borderId="27" xfId="1" applyFont="1" applyFill="1" applyBorder="1" applyAlignment="1" applyProtection="1">
      <alignment horizontal="center" vertical="center" wrapText="1"/>
    </xf>
    <xf numFmtId="0" fontId="27" fillId="0" borderId="27" xfId="0" applyFont="1" applyBorder="1" applyAlignment="1" applyProtection="1">
      <alignment horizontal="center" vertical="center"/>
      <protection locked="0"/>
    </xf>
    <xf numFmtId="6" fontId="5" fillId="0" borderId="27" xfId="1" applyNumberFormat="1" applyFont="1" applyFill="1" applyBorder="1" applyAlignment="1" applyProtection="1">
      <alignment horizontal="center" vertical="center" wrapText="1"/>
      <protection locked="0"/>
    </xf>
    <xf numFmtId="0" fontId="9" fillId="0" borderId="27" xfId="0" applyFont="1" applyBorder="1" applyAlignment="1" applyProtection="1">
      <alignment horizontal="center" vertical="center"/>
      <protection locked="0"/>
    </xf>
    <xf numFmtId="0" fontId="9" fillId="0" borderId="27" xfId="0" applyFont="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6" fontId="8" fillId="0" borderId="29" xfId="1" applyNumberFormat="1" applyFont="1" applyFill="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44" fontId="9" fillId="11" borderId="27" xfId="1" applyFont="1" applyFill="1" applyBorder="1" applyAlignment="1" applyProtection="1">
      <alignment horizontal="center" vertical="center" wrapText="1"/>
    </xf>
    <xf numFmtId="0" fontId="8" fillId="0" borderId="27" xfId="0" applyFont="1" applyBorder="1" applyAlignment="1" applyProtection="1">
      <alignment horizontal="left" vertical="center" wrapText="1"/>
      <protection locked="0"/>
    </xf>
    <xf numFmtId="0" fontId="9" fillId="12" borderId="27"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6" fontId="9" fillId="0" borderId="27" xfId="0" applyNumberFormat="1" applyFont="1" applyBorder="1" applyAlignment="1" applyProtection="1">
      <alignment horizontal="center" vertical="center"/>
      <protection locked="0"/>
    </xf>
    <xf numFmtId="0" fontId="8" fillId="0" borderId="27" xfId="0" applyFont="1" applyBorder="1" applyAlignment="1">
      <alignment horizontal="center" vertical="center"/>
    </xf>
    <xf numFmtId="0" fontId="8" fillId="17" borderId="27" xfId="0" applyFont="1" applyFill="1" applyBorder="1" applyAlignment="1">
      <alignment horizontal="center" vertical="center" wrapText="1"/>
    </xf>
    <xf numFmtId="0" fontId="8" fillId="18" borderId="28" xfId="0" applyFont="1" applyFill="1" applyBorder="1" applyAlignment="1">
      <alignment horizontal="center" vertical="center"/>
    </xf>
    <xf numFmtId="0" fontId="8" fillId="19" borderId="27" xfId="0" applyFont="1" applyFill="1" applyBorder="1" applyAlignment="1" applyProtection="1">
      <alignment horizontal="center" vertical="center" wrapText="1"/>
      <protection locked="0"/>
    </xf>
    <xf numFmtId="0" fontId="15" fillId="0" borderId="27"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6" fontId="21" fillId="0" borderId="27" xfId="1" applyNumberFormat="1" applyFont="1" applyFill="1" applyBorder="1" applyAlignment="1" applyProtection="1">
      <alignment horizontal="left" vertical="center" wrapText="1"/>
      <protection locked="0"/>
    </xf>
    <xf numFmtId="0" fontId="21" fillId="26" borderId="27" xfId="0" applyFont="1" applyFill="1" applyBorder="1" applyAlignment="1" applyProtection="1">
      <alignment horizontal="left" vertical="center" wrapText="1"/>
      <protection locked="0"/>
    </xf>
    <xf numFmtId="6" fontId="21" fillId="2" borderId="27" xfId="1" applyNumberFormat="1" applyFont="1" applyFill="1" applyBorder="1" applyAlignment="1" applyProtection="1">
      <alignment horizontal="right" vertical="center" wrapText="1"/>
      <protection locked="0"/>
    </xf>
    <xf numFmtId="0" fontId="22" fillId="18" borderId="27" xfId="0" applyFont="1" applyFill="1" applyBorder="1" applyAlignment="1" applyProtection="1">
      <alignment horizontal="center" vertical="center"/>
      <protection locked="0"/>
    </xf>
    <xf numFmtId="0" fontId="21" fillId="19" borderId="27" xfId="0" applyFont="1" applyFill="1" applyBorder="1" applyAlignment="1" applyProtection="1">
      <alignment horizontal="center" vertical="center" wrapText="1"/>
      <protection locked="0"/>
    </xf>
    <xf numFmtId="0" fontId="15" fillId="0" borderId="27" xfId="0" applyFont="1" applyBorder="1" applyProtection="1">
      <protection locked="0"/>
    </xf>
    <xf numFmtId="164" fontId="18" fillId="0" borderId="27" xfId="1" applyNumberFormat="1" applyFont="1" applyBorder="1" applyAlignment="1" applyProtection="1">
      <alignment vertical="center"/>
      <protection locked="0"/>
    </xf>
    <xf numFmtId="0" fontId="15" fillId="0" borderId="27" xfId="0" applyFont="1" applyBorder="1" applyAlignment="1" applyProtection="1">
      <alignment vertical="center"/>
      <protection locked="0"/>
    </xf>
    <xf numFmtId="0" fontId="15" fillId="0" borderId="27" xfId="0" applyFont="1" applyBorder="1" applyAlignment="1">
      <alignment vertical="center" wrapText="1"/>
    </xf>
    <xf numFmtId="0" fontId="13" fillId="0" borderId="27" xfId="0" applyFont="1" applyBorder="1" applyAlignment="1" applyProtection="1">
      <alignment horizontal="center" vertical="center"/>
      <protection locked="0"/>
    </xf>
    <xf numFmtId="0" fontId="15" fillId="0" borderId="27" xfId="0" applyFont="1" applyBorder="1" applyAlignment="1" applyProtection="1">
      <alignment horizontal="left" vertical="center"/>
      <protection locked="0"/>
    </xf>
    <xf numFmtId="0" fontId="21" fillId="0" borderId="27" xfId="0" applyFont="1" applyBorder="1" applyAlignment="1" applyProtection="1">
      <alignment vertical="center" wrapText="1"/>
      <protection locked="0"/>
    </xf>
    <xf numFmtId="0" fontId="15" fillId="0" borderId="28" xfId="0" applyFont="1" applyBorder="1" applyAlignment="1" applyProtection="1">
      <alignment vertical="center" wrapText="1"/>
      <protection locked="0"/>
    </xf>
    <xf numFmtId="0" fontId="21" fillId="26" borderId="27" xfId="0" applyFont="1" applyFill="1" applyBorder="1" applyAlignment="1" applyProtection="1">
      <alignment horizontal="center" vertical="center" wrapText="1"/>
      <protection locked="0"/>
    </xf>
    <xf numFmtId="0" fontId="15" fillId="0" borderId="27" xfId="0" applyFont="1" applyBorder="1" applyAlignment="1" applyProtection="1">
      <alignment vertical="center" wrapText="1"/>
      <protection locked="0"/>
    </xf>
    <xf numFmtId="164" fontId="18" fillId="0" borderId="28" xfId="1" applyNumberFormat="1" applyFont="1" applyBorder="1" applyAlignment="1" applyProtection="1">
      <alignment vertical="center"/>
      <protection locked="0"/>
    </xf>
    <xf numFmtId="0" fontId="15" fillId="0" borderId="28" xfId="0" applyFont="1" applyBorder="1" applyAlignment="1" applyProtection="1">
      <alignment vertical="center"/>
      <protection locked="0"/>
    </xf>
    <xf numFmtId="0" fontId="21" fillId="26" borderId="28" xfId="0" applyFont="1" applyFill="1" applyBorder="1" applyAlignment="1" applyProtection="1">
      <alignment horizontal="left" vertical="center" wrapText="1"/>
      <protection locked="0"/>
    </xf>
    <xf numFmtId="0" fontId="13" fillId="27" borderId="27" xfId="0" applyFont="1" applyFill="1" applyBorder="1" applyAlignment="1">
      <alignment horizontal="left" vertical="center" wrapText="1"/>
    </xf>
    <xf numFmtId="0" fontId="13" fillId="0" borderId="27" xfId="0" applyFont="1" applyBorder="1" applyAlignment="1">
      <alignment vertical="center" wrapText="1"/>
    </xf>
    <xf numFmtId="0" fontId="15" fillId="0" borderId="28" xfId="0" applyFont="1" applyBorder="1" applyAlignment="1" applyProtection="1">
      <alignment horizontal="left" vertical="center"/>
      <protection locked="0"/>
    </xf>
    <xf numFmtId="0" fontId="21" fillId="0" borderId="28" xfId="0" applyFont="1" applyBorder="1" applyAlignment="1" applyProtection="1">
      <alignment horizontal="left" vertical="center" wrapText="1"/>
      <protection locked="0"/>
    </xf>
    <xf numFmtId="0" fontId="14" fillId="0" borderId="27" xfId="0" applyFont="1" applyBorder="1" applyAlignment="1" applyProtection="1">
      <alignment horizontal="center" vertical="center"/>
      <protection locked="0"/>
    </xf>
    <xf numFmtId="0" fontId="14" fillId="0" borderId="27" xfId="0" applyFont="1" applyBorder="1" applyAlignment="1">
      <alignment wrapText="1"/>
    </xf>
    <xf numFmtId="0" fontId="14" fillId="0" borderId="27" xfId="0" applyFont="1" applyBorder="1" applyAlignment="1" applyProtection="1">
      <alignment horizontal="left" vertical="center" wrapText="1"/>
      <protection locked="0"/>
    </xf>
    <xf numFmtId="164" fontId="18" fillId="0" borderId="27" xfId="1" applyNumberFormat="1" applyFont="1" applyFill="1" applyBorder="1" applyAlignment="1" applyProtection="1">
      <alignment vertical="center"/>
      <protection locked="0"/>
    </xf>
    <xf numFmtId="0" fontId="14" fillId="0" borderId="27" xfId="0" applyFont="1" applyBorder="1" applyAlignment="1" applyProtection="1">
      <alignment vertical="center"/>
      <protection locked="0"/>
    </xf>
    <xf numFmtId="0" fontId="14" fillId="0" borderId="27" xfId="0" applyFont="1" applyBorder="1" applyAlignment="1" applyProtection="1">
      <alignment vertical="center" wrapText="1"/>
      <protection locked="0"/>
    </xf>
    <xf numFmtId="0" fontId="13" fillId="0" borderId="28" xfId="0" applyFont="1" applyBorder="1" applyAlignment="1" applyProtection="1">
      <alignment horizontal="center" vertical="center"/>
      <protection locked="0"/>
    </xf>
    <xf numFmtId="44" fontId="14" fillId="11" borderId="27" xfId="1" applyFont="1" applyFill="1" applyBorder="1" applyAlignment="1" applyProtection="1">
      <alignment horizontal="center" vertical="center" wrapText="1"/>
    </xf>
    <xf numFmtId="0" fontId="14" fillId="12" borderId="27" xfId="0" applyFont="1" applyFill="1" applyBorder="1" applyAlignment="1" applyProtection="1">
      <alignment horizontal="center" vertical="center"/>
      <protection locked="0"/>
    </xf>
    <xf numFmtId="164" fontId="14" fillId="0" borderId="27" xfId="0" applyNumberFormat="1" applyFont="1" applyBorder="1" applyAlignment="1" applyProtection="1">
      <alignment horizontal="center" vertical="center"/>
      <protection locked="0"/>
    </xf>
    <xf numFmtId="0" fontId="14" fillId="0" borderId="0" xfId="0" applyFont="1" applyProtection="1">
      <protection locked="0"/>
    </xf>
    <xf numFmtId="0" fontId="24" fillId="0" borderId="27" xfId="0" applyFont="1" applyBorder="1" applyAlignment="1">
      <alignment wrapText="1"/>
    </xf>
    <xf numFmtId="0" fontId="21" fillId="0" borderId="27" xfId="0" applyFont="1" applyBorder="1" applyAlignment="1">
      <alignment wrapText="1"/>
    </xf>
    <xf numFmtId="0" fontId="21" fillId="28" borderId="27" xfId="0" applyFont="1" applyFill="1" applyBorder="1" applyAlignment="1">
      <alignment wrapText="1"/>
    </xf>
    <xf numFmtId="6" fontId="21" fillId="0" borderId="27" xfId="1" applyNumberFormat="1" applyFont="1" applyFill="1" applyBorder="1" applyAlignment="1" applyProtection="1">
      <alignment vertical="center" wrapText="1"/>
      <protection locked="0"/>
    </xf>
    <xf numFmtId="49" fontId="21" fillId="0" borderId="27" xfId="0" quotePrefix="1" applyNumberFormat="1" applyFont="1" applyBorder="1" applyAlignment="1" applyProtection="1">
      <alignment horizontal="center" vertical="center" wrapText="1"/>
      <protection locked="0"/>
    </xf>
    <xf numFmtId="0" fontId="21" fillId="0" borderId="27" xfId="0" quotePrefix="1" applyFont="1" applyBorder="1" applyAlignment="1" applyProtection="1">
      <alignment horizontal="center" vertical="center" wrapText="1"/>
      <protection locked="0"/>
    </xf>
    <xf numFmtId="0" fontId="21" fillId="25" borderId="27" xfId="0" applyFont="1" applyFill="1" applyBorder="1" applyAlignment="1" applyProtection="1">
      <alignment horizontal="left" vertical="center" wrapText="1"/>
      <protection locked="0"/>
    </xf>
    <xf numFmtId="0" fontId="21" fillId="0" borderId="27" xfId="0" applyFont="1" applyBorder="1" applyAlignment="1">
      <alignment vertical="center" wrapText="1"/>
    </xf>
    <xf numFmtId="0" fontId="14" fillId="12" borderId="28"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22" fillId="18" borderId="27" xfId="0" applyFont="1" applyFill="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protection locked="0"/>
    </xf>
    <xf numFmtId="0" fontId="22" fillId="17" borderId="27" xfId="0" applyFont="1" applyFill="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15" fillId="0" borderId="27" xfId="0" applyFont="1" applyBorder="1" applyAlignment="1" applyProtection="1">
      <alignment horizontal="left" wrapText="1"/>
      <protection locked="0"/>
    </xf>
    <xf numFmtId="0" fontId="21" fillId="25" borderId="28" xfId="0" applyFont="1" applyFill="1" applyBorder="1" applyAlignment="1" applyProtection="1">
      <alignment horizontal="left" vertical="center" wrapText="1"/>
      <protection locked="0"/>
    </xf>
    <xf numFmtId="0" fontId="24" fillId="0" borderId="27" xfId="0" applyFont="1" applyBorder="1" applyAlignment="1">
      <alignment horizontal="center" vertical="center"/>
    </xf>
    <xf numFmtId="0" fontId="14" fillId="0" borderId="27" xfId="0" applyFont="1" applyBorder="1" applyAlignment="1">
      <alignment vertical="center" wrapText="1"/>
    </xf>
    <xf numFmtId="0" fontId="24" fillId="0" borderId="27" xfId="0" applyFont="1" applyBorder="1" applyAlignment="1">
      <alignment vertical="center" wrapText="1"/>
    </xf>
    <xf numFmtId="167" fontId="18" fillId="2" borderId="1" xfId="1" applyNumberFormat="1" applyFont="1" applyFill="1" applyBorder="1" applyAlignment="1">
      <alignment horizontal="center" vertical="center" wrapText="1"/>
    </xf>
    <xf numFmtId="49" fontId="18" fillId="2" borderId="27" xfId="0" quotePrefix="1" applyNumberFormat="1" applyFont="1" applyFill="1" applyBorder="1" applyAlignment="1" applyProtection="1">
      <alignment horizontal="center" vertical="center" wrapText="1"/>
      <protection locked="0"/>
    </xf>
    <xf numFmtId="0" fontId="15" fillId="2" borderId="29" xfId="0" quotePrefix="1" applyFont="1" applyFill="1" applyBorder="1" applyAlignment="1" applyProtection="1">
      <alignment horizontal="center" vertical="center" wrapText="1"/>
      <protection locked="0"/>
    </xf>
    <xf numFmtId="0" fontId="15" fillId="25" borderId="28"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center" vertical="center"/>
      <protection locked="0"/>
    </xf>
    <xf numFmtId="49" fontId="15" fillId="12" borderId="27" xfId="3" applyFont="1" applyFill="1" applyBorder="1" applyAlignment="1" applyProtection="1">
      <alignment horizontal="center" vertical="center" wrapText="1"/>
      <protection locked="0"/>
    </xf>
    <xf numFmtId="167" fontId="18" fillId="2" borderId="29" xfId="1" applyNumberFormat="1" applyFont="1" applyFill="1" applyBorder="1" applyAlignment="1" applyProtection="1">
      <alignment horizontal="right" vertical="center" wrapText="1"/>
      <protection locked="0"/>
    </xf>
    <xf numFmtId="0" fontId="19" fillId="0" borderId="27" xfId="31" applyFont="1" applyBorder="1" applyAlignment="1" applyProtection="1">
      <alignment horizontal="center" vertical="center"/>
      <protection locked="0"/>
    </xf>
    <xf numFmtId="0" fontId="18" fillId="25" borderId="28"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28" fillId="2" borderId="27" xfId="0" applyFont="1" applyFill="1" applyBorder="1" applyAlignment="1" applyProtection="1">
      <alignment horizontal="center" vertical="center" wrapText="1"/>
      <protection locked="0"/>
    </xf>
    <xf numFmtId="0" fontId="17" fillId="2" borderId="29" xfId="0" quotePrefix="1" applyFont="1" applyFill="1" applyBorder="1" applyAlignment="1" applyProtection="1">
      <alignment horizontal="center" vertical="center" wrapText="1"/>
      <protection locked="0"/>
    </xf>
    <xf numFmtId="0" fontId="17" fillId="25" borderId="28" xfId="0" applyFont="1" applyFill="1" applyBorder="1" applyAlignment="1" applyProtection="1">
      <alignment horizontal="center" vertical="center" wrapText="1"/>
      <protection locked="0"/>
    </xf>
    <xf numFmtId="0" fontId="17" fillId="12" borderId="27"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49" fontId="29" fillId="12" borderId="27" xfId="3" applyFont="1" applyFill="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7" xfId="0" applyFont="1" applyBorder="1" applyAlignment="1" applyProtection="1">
      <alignment horizontal="left" vertical="center"/>
      <protection locked="0"/>
    </xf>
    <xf numFmtId="0" fontId="17" fillId="0" borderId="27" xfId="0" applyFont="1" applyBorder="1" applyAlignment="1" applyProtection="1">
      <alignment horizontal="center" vertical="center"/>
      <protection locked="0"/>
    </xf>
    <xf numFmtId="0" fontId="30" fillId="0" borderId="27" xfId="31" applyFont="1" applyBorder="1" applyAlignment="1" applyProtection="1">
      <alignment horizontal="center" vertical="center"/>
      <protection locked="0"/>
    </xf>
    <xf numFmtId="0" fontId="17" fillId="18" borderId="27" xfId="0" applyFont="1" applyFill="1" applyBorder="1" applyAlignment="1" applyProtection="1">
      <alignment horizontal="center" vertical="center"/>
      <protection locked="0"/>
    </xf>
    <xf numFmtId="6" fontId="17" fillId="2" borderId="26" xfId="1" applyNumberFormat="1" applyFont="1" applyFill="1" applyBorder="1" applyAlignment="1" applyProtection="1">
      <alignment horizontal="right" vertical="center" wrapText="1"/>
      <protection locked="0"/>
    </xf>
    <xf numFmtId="0" fontId="15" fillId="0" borderId="28" xfId="0" applyFont="1" applyBorder="1" applyAlignment="1">
      <alignment horizontal="center" vertical="center" wrapText="1"/>
    </xf>
    <xf numFmtId="0" fontId="15" fillId="0" borderId="28" xfId="0" applyFont="1" applyBorder="1" applyProtection="1">
      <protection locked="0"/>
    </xf>
    <xf numFmtId="6" fontId="17" fillId="2" borderId="29" xfId="1" applyNumberFormat="1" applyFont="1" applyFill="1" applyBorder="1" applyAlignment="1" applyProtection="1">
      <alignment horizontal="right" vertical="center" wrapText="1"/>
      <protection locked="0"/>
    </xf>
    <xf numFmtId="0" fontId="31" fillId="2" borderId="29" xfId="0" quotePrefix="1" applyFont="1" applyFill="1" applyBorder="1" applyAlignment="1" applyProtection="1">
      <alignment horizontal="center" vertical="center" wrapText="1"/>
      <protection locked="0"/>
    </xf>
    <xf numFmtId="0" fontId="31" fillId="12" borderId="27" xfId="0" applyFont="1" applyFill="1" applyBorder="1" applyAlignment="1" applyProtection="1">
      <alignment horizontal="center" vertical="center"/>
      <protection locked="0"/>
    </xf>
    <xf numFmtId="0" fontId="31" fillId="2" borderId="27" xfId="0" applyFont="1" applyFill="1" applyBorder="1" applyAlignment="1" applyProtection="1">
      <alignment horizontal="center" vertical="center"/>
      <protection locked="0"/>
    </xf>
    <xf numFmtId="49" fontId="31" fillId="12" borderId="27" xfId="3" applyFont="1" applyFill="1" applyBorder="1" applyAlignment="1" applyProtection="1">
      <alignment horizontal="center" vertical="center" wrapText="1"/>
      <protection locked="0"/>
    </xf>
    <xf numFmtId="0" fontId="32" fillId="0" borderId="27" xfId="31" applyFont="1" applyBorder="1" applyAlignment="1" applyProtection="1">
      <alignment horizontal="center" vertical="center"/>
      <protection locked="0"/>
    </xf>
    <xf numFmtId="0" fontId="31" fillId="2" borderId="26" xfId="0" quotePrefix="1" applyFont="1" applyFill="1" applyBorder="1" applyAlignment="1" applyProtection="1">
      <alignment horizontal="center" vertical="center" wrapText="1"/>
      <protection locked="0"/>
    </xf>
    <xf numFmtId="0" fontId="17" fillId="2" borderId="28" xfId="0" applyFont="1" applyFill="1" applyBorder="1" applyAlignment="1" applyProtection="1">
      <alignment horizontal="left" vertical="center" wrapText="1"/>
      <protection locked="0"/>
    </xf>
    <xf numFmtId="0" fontId="31" fillId="12" borderId="28"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49" fontId="31" fillId="12" borderId="28" xfId="3" applyFont="1" applyFill="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8" xfId="0" applyFont="1" applyBorder="1" applyAlignment="1" applyProtection="1">
      <alignment horizontal="left" vertical="center"/>
      <protection locked="0"/>
    </xf>
    <xf numFmtId="0" fontId="18" fillId="17" borderId="28" xfId="0" applyFont="1" applyFill="1" applyBorder="1" applyAlignment="1" applyProtection="1">
      <alignment horizontal="center" vertical="center" wrapText="1"/>
      <protection locked="0"/>
    </xf>
    <xf numFmtId="0" fontId="17" fillId="0" borderId="28" xfId="0" applyFont="1" applyBorder="1" applyAlignment="1" applyProtection="1">
      <alignment horizontal="center" vertical="center"/>
      <protection locked="0"/>
    </xf>
    <xf numFmtId="0" fontId="32" fillId="0" borderId="28" xfId="31" applyFont="1" applyBorder="1" applyAlignment="1" applyProtection="1">
      <alignment horizontal="center" vertical="center"/>
      <protection locked="0"/>
    </xf>
    <xf numFmtId="0" fontId="17" fillId="18" borderId="28" xfId="0" applyFont="1" applyFill="1" applyBorder="1" applyAlignment="1" applyProtection="1">
      <alignment horizontal="center" vertical="center"/>
      <protection locked="0"/>
    </xf>
    <xf numFmtId="0" fontId="18" fillId="19" borderId="28" xfId="0" applyFont="1" applyFill="1" applyBorder="1" applyAlignment="1" applyProtection="1">
      <alignment horizontal="center" vertical="center" wrapText="1"/>
      <protection locked="0"/>
    </xf>
    <xf numFmtId="0" fontId="18" fillId="19" borderId="28" xfId="0" applyFont="1" applyFill="1" applyBorder="1" applyAlignment="1" applyProtection="1">
      <alignment horizontal="left" vertical="center" wrapText="1"/>
      <protection locked="0"/>
    </xf>
    <xf numFmtId="0" fontId="31" fillId="2" borderId="27" xfId="0" quotePrefix="1" applyFont="1" applyFill="1" applyBorder="1" applyAlignment="1" applyProtection="1">
      <alignment horizontal="center" vertical="center" wrapText="1"/>
      <protection locked="0"/>
    </xf>
    <xf numFmtId="6" fontId="17" fillId="0" borderId="26" xfId="5" applyNumberFormat="1" applyFont="1" applyFill="1" applyBorder="1" applyAlignment="1" applyProtection="1">
      <alignment horizontal="right" vertical="center" wrapText="1"/>
      <protection locked="0"/>
    </xf>
    <xf numFmtId="49" fontId="17" fillId="2" borderId="27" xfId="0" quotePrefix="1" applyNumberFormat="1" applyFont="1" applyFill="1" applyBorder="1" applyAlignment="1" applyProtection="1">
      <alignment horizontal="center" vertical="center" wrapText="1"/>
      <protection locked="0"/>
    </xf>
    <xf numFmtId="0" fontId="17" fillId="25" borderId="27" xfId="0" applyFont="1" applyFill="1" applyBorder="1" applyAlignment="1">
      <alignment horizontal="left" vertical="center" wrapText="1"/>
    </xf>
    <xf numFmtId="6" fontId="17" fillId="2" borderId="29" xfId="5" applyNumberFormat="1" applyFont="1" applyFill="1" applyBorder="1" applyAlignment="1" applyProtection="1">
      <alignment horizontal="right" vertical="center" wrapText="1"/>
      <protection locked="0"/>
    </xf>
    <xf numFmtId="0" fontId="17" fillId="2" borderId="27" xfId="0" quotePrefix="1" applyFont="1" applyFill="1" applyBorder="1" applyAlignment="1" applyProtection="1">
      <alignment horizontal="center" vertical="center" wrapText="1"/>
      <protection locked="0"/>
    </xf>
    <xf numFmtId="0" fontId="33" fillId="0" borderId="27" xfId="0" applyFont="1" applyBorder="1" applyAlignment="1">
      <alignment vertical="center" wrapText="1"/>
    </xf>
    <xf numFmtId="0" fontId="15" fillId="0" borderId="27" xfId="0" applyFont="1" applyFill="1" applyBorder="1" applyAlignment="1" applyProtection="1">
      <alignment vertical="center"/>
      <protection locked="0"/>
    </xf>
    <xf numFmtId="0" fontId="34" fillId="0" borderId="27"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5" fillId="0" borderId="27" xfId="0" applyFont="1" applyFill="1" applyBorder="1" applyAlignment="1">
      <alignment horizontal="left" vertical="center" wrapText="1"/>
    </xf>
    <xf numFmtId="0" fontId="8" fillId="0" borderId="4" xfId="0" applyFont="1" applyFill="1" applyBorder="1" applyAlignment="1" applyProtection="1">
      <alignment horizontal="left" vertical="center" wrapText="1"/>
      <protection locked="0"/>
    </xf>
    <xf numFmtId="0" fontId="8" fillId="0" borderId="4" xfId="0" applyFont="1" applyFill="1" applyBorder="1" applyAlignment="1">
      <alignment horizontal="left" vertical="center" wrapText="1"/>
    </xf>
    <xf numFmtId="0" fontId="21" fillId="0" borderId="6" xfId="0" applyFont="1" applyFill="1" applyBorder="1" applyAlignment="1" applyProtection="1">
      <alignment horizontal="left" vertical="center" wrapText="1"/>
      <protection locked="0"/>
    </xf>
    <xf numFmtId="0" fontId="15" fillId="23" borderId="27" xfId="0" applyFont="1" applyFill="1" applyBorder="1" applyAlignment="1" applyProtection="1">
      <alignment horizontal="center" vertical="center"/>
      <protection locked="0"/>
    </xf>
    <xf numFmtId="6" fontId="17" fillId="0" borderId="27" xfId="5" applyNumberFormat="1" applyFont="1" applyFill="1" applyBorder="1" applyAlignment="1" applyProtection="1">
      <alignment horizontal="right" vertical="center" wrapText="1"/>
      <protection locked="0"/>
    </xf>
    <xf numFmtId="0" fontId="15" fillId="23" borderId="27"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6" xfId="0" applyFont="1" applyFill="1" applyBorder="1" applyAlignment="1" applyProtection="1">
      <alignment horizontal="center" vertical="center"/>
      <protection locked="0"/>
    </xf>
    <xf numFmtId="6" fontId="18" fillId="2" borderId="28" xfId="1" applyNumberFormat="1" applyFont="1" applyFill="1" applyBorder="1" applyAlignment="1" applyProtection="1">
      <alignment horizontal="center" vertical="center" wrapText="1"/>
      <protection locked="0"/>
    </xf>
    <xf numFmtId="6" fontId="18" fillId="2" borderId="6" xfId="1" applyNumberFormat="1" applyFont="1" applyFill="1" applyBorder="1" applyAlignment="1" applyProtection="1">
      <alignment horizontal="center" vertical="center" wrapText="1"/>
      <protection locked="0"/>
    </xf>
    <xf numFmtId="49" fontId="18" fillId="2" borderId="28" xfId="0" quotePrefix="1" applyNumberFormat="1" applyFont="1" applyFill="1" applyBorder="1" applyAlignment="1" applyProtection="1">
      <alignment horizontal="center" vertical="center" wrapText="1"/>
      <protection locked="0"/>
    </xf>
    <xf numFmtId="49" fontId="18" fillId="2" borderId="6" xfId="0" quotePrefix="1" applyNumberFormat="1" applyFont="1" applyFill="1" applyBorder="1" applyAlignment="1" applyProtection="1">
      <alignment horizontal="center" vertical="center" wrapText="1"/>
      <protection locked="0"/>
    </xf>
    <xf numFmtId="49" fontId="18" fillId="0" borderId="28" xfId="0" quotePrefix="1" applyNumberFormat="1" applyFont="1" applyBorder="1" applyAlignment="1" applyProtection="1">
      <alignment horizontal="center" vertical="center" wrapText="1"/>
      <protection locked="0"/>
    </xf>
    <xf numFmtId="49" fontId="18" fillId="0" borderId="6" xfId="0" quotePrefix="1" applyNumberFormat="1" applyFont="1" applyBorder="1" applyAlignment="1" applyProtection="1">
      <alignment horizontal="center" vertical="center" wrapText="1"/>
      <protection locked="0"/>
    </xf>
    <xf numFmtId="44" fontId="15" fillId="11" borderId="28" xfId="1" applyFont="1" applyFill="1" applyBorder="1" applyAlignment="1" applyProtection="1">
      <alignment horizontal="center" vertical="center" wrapText="1"/>
      <protection locked="0"/>
    </xf>
    <xf numFmtId="44" fontId="15" fillId="11" borderId="6" xfId="1"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8" fillId="2" borderId="28"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49" fontId="15" fillId="12" borderId="28" xfId="3" applyFont="1" applyFill="1" applyBorder="1" applyAlignment="1" applyProtection="1">
      <alignment horizontal="center" vertical="center" wrapText="1"/>
      <protection locked="0"/>
    </xf>
    <xf numFmtId="49" fontId="15" fillId="12" borderId="6" xfId="3" applyFont="1" applyFill="1" applyBorder="1" applyAlignment="1" applyProtection="1">
      <alignment horizontal="center" vertical="center" wrapText="1"/>
      <protection locked="0"/>
    </xf>
    <xf numFmtId="49" fontId="18" fillId="2" borderId="16" xfId="0" quotePrefix="1" applyNumberFormat="1" applyFont="1" applyFill="1" applyBorder="1" applyAlignment="1" applyProtection="1">
      <alignment horizontal="center" vertical="center" wrapText="1"/>
      <protection locked="0"/>
    </xf>
    <xf numFmtId="44" fontId="15" fillId="11" borderId="28" xfId="1" applyFont="1" applyFill="1" applyBorder="1" applyAlignment="1" applyProtection="1">
      <alignment horizontal="center" vertical="center" wrapText="1"/>
    </xf>
    <xf numFmtId="44" fontId="15" fillId="11" borderId="16" xfId="1" applyFont="1" applyFill="1" applyBorder="1" applyAlignment="1" applyProtection="1">
      <alignment horizontal="center" vertical="center" wrapText="1"/>
    </xf>
    <xf numFmtId="44" fontId="15" fillId="11" borderId="6" xfId="1" applyFont="1" applyFill="1" applyBorder="1" applyAlignment="1" applyProtection="1">
      <alignment horizontal="center" vertical="center" wrapText="1"/>
    </xf>
    <xf numFmtId="0" fontId="15" fillId="0" borderId="16" xfId="0" applyFont="1" applyBorder="1" applyAlignment="1" applyProtection="1">
      <alignment horizontal="center" vertical="center" wrapText="1"/>
      <protection locked="0"/>
    </xf>
    <xf numFmtId="0" fontId="18" fillId="2" borderId="16" xfId="0" applyFont="1" applyFill="1" applyBorder="1" applyAlignment="1" applyProtection="1">
      <alignment horizontal="center" vertical="center" wrapText="1"/>
      <protection locked="0"/>
    </xf>
    <xf numFmtId="0" fontId="15" fillId="12" borderId="16" xfId="0" applyFont="1" applyFill="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6" fontId="18" fillId="2" borderId="16" xfId="1" applyNumberFormat="1" applyFont="1" applyFill="1" applyBorder="1" applyAlignment="1" applyProtection="1">
      <alignment horizontal="center" vertical="center" wrapText="1"/>
      <protection locked="0"/>
    </xf>
    <xf numFmtId="6" fontId="13" fillId="0" borderId="28" xfId="0" applyNumberFormat="1" applyFont="1" applyBorder="1" applyAlignment="1" applyProtection="1">
      <alignment horizontal="center" vertical="center" wrapText="1"/>
      <protection locked="0"/>
    </xf>
    <xf numFmtId="6" fontId="13" fillId="0" borderId="6" xfId="0" applyNumberFormat="1" applyFont="1" applyBorder="1" applyAlignment="1" applyProtection="1">
      <alignment horizontal="center" vertical="center" wrapText="1"/>
      <protection locked="0"/>
    </xf>
    <xf numFmtId="0" fontId="15" fillId="2" borderId="28"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49" fontId="15" fillId="12" borderId="16" xfId="3" applyFont="1" applyFill="1" applyBorder="1" applyAlignment="1" applyProtection="1">
      <alignment horizontal="center" vertical="center" wrapText="1"/>
      <protection locked="0"/>
    </xf>
    <xf numFmtId="6" fontId="13" fillId="0" borderId="16" xfId="0" applyNumberFormat="1" applyFont="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21" fillId="2" borderId="28" xfId="0" quotePrefix="1" applyFont="1" applyFill="1" applyBorder="1" applyAlignment="1" applyProtection="1">
      <alignment horizontal="center" vertical="center" wrapText="1"/>
      <protection locked="0"/>
    </xf>
    <xf numFmtId="0" fontId="21" fillId="2" borderId="16" xfId="0" quotePrefix="1" applyFont="1" applyFill="1" applyBorder="1" applyAlignment="1" applyProtection="1">
      <alignment horizontal="center" vertical="center" wrapText="1"/>
      <protection locked="0"/>
    </xf>
    <xf numFmtId="0" fontId="21" fillId="2" borderId="6" xfId="0" quotePrefix="1"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protection locked="0"/>
    </xf>
    <xf numFmtId="0" fontId="18" fillId="19" borderId="5" xfId="0" applyFont="1" applyFill="1" applyBorder="1" applyAlignment="1" applyProtection="1">
      <alignment horizontal="center" vertical="center" wrapText="1"/>
      <protection locked="0"/>
    </xf>
    <xf numFmtId="0" fontId="18" fillId="19" borderId="16"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44" fontId="9" fillId="11" borderId="5" xfId="1" applyFont="1" applyFill="1" applyBorder="1" applyAlignment="1" applyProtection="1">
      <alignment horizontal="center" vertical="center" wrapText="1"/>
    </xf>
    <xf numFmtId="44" fontId="9" fillId="11" borderId="6" xfId="1" applyFont="1" applyFill="1" applyBorder="1" applyAlignment="1" applyProtection="1">
      <alignment horizontal="center" vertical="center" wrapText="1"/>
    </xf>
    <xf numFmtId="0" fontId="15" fillId="0" borderId="5" xfId="0" applyFont="1" applyBorder="1" applyAlignment="1" applyProtection="1">
      <alignment horizontal="center" vertical="center"/>
      <protection locked="0"/>
    </xf>
    <xf numFmtId="0" fontId="8" fillId="19" borderId="5" xfId="0" applyFont="1" applyFill="1" applyBorder="1" applyAlignment="1">
      <alignment horizontal="center" vertical="center" wrapText="1"/>
    </xf>
    <xf numFmtId="0" fontId="8" fillId="19" borderId="6" xfId="0" applyFont="1" applyFill="1" applyBorder="1" applyAlignment="1">
      <alignment horizontal="center" vertical="center" wrapText="1"/>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9" fillId="12" borderId="5" xfId="0" applyFont="1" applyFill="1" applyBorder="1" applyAlignment="1" applyProtection="1">
      <alignment horizontal="center" vertical="center"/>
      <protection locked="0"/>
    </xf>
    <xf numFmtId="0" fontId="9" fillId="12" borderId="6" xfId="0" applyFont="1" applyFill="1" applyBorder="1" applyAlignment="1" applyProtection="1">
      <alignment horizontal="center" vertical="center"/>
      <protection locked="0"/>
    </xf>
    <xf numFmtId="166" fontId="9" fillId="0" borderId="5" xfId="0" applyNumberFormat="1" applyFont="1" applyBorder="1" applyAlignment="1">
      <alignment horizontal="center" vertical="center" wrapText="1"/>
    </xf>
    <xf numFmtId="166" fontId="9" fillId="0" borderId="6" xfId="0" applyNumberFormat="1" applyFont="1" applyBorder="1" applyAlignment="1">
      <alignment horizontal="center" vertical="center" wrapText="1"/>
    </xf>
    <xf numFmtId="0" fontId="8" fillId="17" borderId="5"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16" xfId="0" applyFont="1" applyBorder="1" applyAlignment="1">
      <alignment horizontal="center" vertical="center" wrapText="1"/>
    </xf>
    <xf numFmtId="0" fontId="15" fillId="12" borderId="5"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9" fillId="14" borderId="4" xfId="0" applyFont="1" applyFill="1" applyBorder="1" applyAlignment="1">
      <alignment horizontal="center" vertical="center" wrapText="1"/>
    </xf>
    <xf numFmtId="0" fontId="9" fillId="0" borderId="4" xfId="0" applyFont="1" applyBorder="1" applyAlignment="1" applyProtection="1">
      <alignment horizontal="center" vertical="center"/>
      <protection locked="0"/>
    </xf>
    <xf numFmtId="0" fontId="9" fillId="12" borderId="4" xfId="0" applyFont="1" applyFill="1" applyBorder="1" applyAlignment="1" applyProtection="1">
      <alignment horizontal="center" vertical="center"/>
      <protection locked="0"/>
    </xf>
    <xf numFmtId="0" fontId="9" fillId="12" borderId="4" xfId="0" applyFont="1" applyFill="1" applyBorder="1" applyAlignment="1" applyProtection="1">
      <alignment horizontal="center" vertical="center" wrapText="1"/>
      <protection locked="0"/>
    </xf>
    <xf numFmtId="6" fontId="9" fillId="0" borderId="4" xfId="0" applyNumberFormat="1" applyFont="1" applyBorder="1" applyAlignment="1">
      <alignment horizontal="center" vertical="center" wrapText="1"/>
    </xf>
    <xf numFmtId="0" fontId="9" fillId="14" borderId="17" xfId="0" applyFont="1" applyFill="1" applyBorder="1" applyAlignment="1">
      <alignment horizontal="center" vertical="center" wrapText="1"/>
    </xf>
    <xf numFmtId="0" fontId="9" fillId="14" borderId="18" xfId="0" applyFont="1" applyFill="1" applyBorder="1" applyAlignment="1">
      <alignment horizontal="center" vertical="center" wrapText="1"/>
    </xf>
    <xf numFmtId="0" fontId="9" fillId="12" borderId="5" xfId="0" applyFont="1" applyFill="1" applyBorder="1" applyAlignment="1" applyProtection="1">
      <alignment horizontal="center" vertical="center" wrapText="1"/>
      <protection locked="0"/>
    </xf>
    <xf numFmtId="0" fontId="9" fillId="12" borderId="6"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6" fontId="8" fillId="2" borderId="5" xfId="1" applyNumberFormat="1" applyFont="1" applyFill="1" applyBorder="1" applyAlignment="1" applyProtection="1">
      <alignment horizontal="center" vertical="center" wrapText="1"/>
    </xf>
    <xf numFmtId="6" fontId="8" fillId="2" borderId="6" xfId="1" applyNumberFormat="1" applyFont="1" applyFill="1" applyBorder="1" applyAlignment="1" applyProtection="1">
      <alignment horizontal="right" vertical="center" wrapText="1"/>
    </xf>
    <xf numFmtId="0" fontId="10" fillId="2" borderId="0" xfId="0" applyFont="1" applyFill="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wrapText="1"/>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0" fontId="10" fillId="2" borderId="4" xfId="0" applyFont="1" applyFill="1" applyBorder="1" applyAlignment="1">
      <alignment horizontal="center" vertical="center" wrapText="1"/>
    </xf>
    <xf numFmtId="14" fontId="10" fillId="2" borderId="4" xfId="0" applyNumberFormat="1" applyFont="1" applyFill="1" applyBorder="1" applyAlignment="1" applyProtection="1">
      <alignment horizontal="center" vertical="center"/>
      <protection locked="0"/>
    </xf>
    <xf numFmtId="14" fontId="10" fillId="0" borderId="4" xfId="0" applyNumberFormat="1" applyFont="1" applyBorder="1" applyAlignment="1" applyProtection="1">
      <alignment horizontal="center" vertical="center"/>
      <protection locked="0"/>
    </xf>
    <xf numFmtId="14" fontId="10" fillId="2" borderId="4" xfId="0" applyNumberFormat="1" applyFont="1" applyFill="1" applyBorder="1" applyAlignment="1" applyProtection="1">
      <alignment horizontal="center" vertical="center" wrapText="1"/>
      <protection locked="0"/>
    </xf>
    <xf numFmtId="0" fontId="10" fillId="6" borderId="4" xfId="0" applyFont="1" applyFill="1" applyBorder="1" applyAlignment="1" applyProtection="1">
      <alignment horizontal="center" vertical="center"/>
      <protection hidden="1"/>
    </xf>
    <xf numFmtId="0" fontId="10" fillId="7" borderId="4" xfId="0" applyFont="1" applyFill="1" applyBorder="1" applyAlignment="1" applyProtection="1">
      <alignment horizontal="center" vertical="center"/>
      <protection hidden="1"/>
    </xf>
    <xf numFmtId="0" fontId="10" fillId="3" borderId="4" xfId="0" applyFont="1" applyFill="1" applyBorder="1" applyAlignment="1">
      <alignment horizontal="center" vertical="center"/>
    </xf>
    <xf numFmtId="0" fontId="10" fillId="5" borderId="4" xfId="2" applyFont="1" applyFill="1" applyBorder="1" applyAlignment="1" applyProtection="1">
      <alignment horizontal="center"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44" fontId="9" fillId="0" borderId="5" xfId="0" applyNumberFormat="1" applyFont="1" applyBorder="1" applyAlignment="1" applyProtection="1">
      <alignment horizontal="center" vertical="center"/>
      <protection locked="0"/>
    </xf>
    <xf numFmtId="44" fontId="9" fillId="0" borderId="6" xfId="0" applyNumberFormat="1" applyFont="1" applyBorder="1" applyAlignment="1" applyProtection="1">
      <alignment horizontal="center" vertical="center"/>
      <protection locked="0"/>
    </xf>
    <xf numFmtId="0" fontId="8" fillId="19" borderId="5" xfId="0" applyFont="1" applyFill="1" applyBorder="1" applyAlignment="1" applyProtection="1">
      <alignment horizontal="center" vertical="center" wrapText="1"/>
      <protection locked="0"/>
    </xf>
    <xf numFmtId="0" fontId="8" fillId="19" borderId="6" xfId="0"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4" fontId="9" fillId="11" borderId="4" xfId="1" applyFont="1" applyFill="1" applyBorder="1" applyAlignment="1" applyProtection="1">
      <alignment horizontal="center" vertical="center" wrapText="1"/>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49" fontId="8" fillId="0" borderId="5" xfId="0" quotePrefix="1" applyNumberFormat="1" applyFont="1" applyBorder="1" applyAlignment="1" applyProtection="1">
      <alignment horizontal="center" vertical="center" wrapText="1"/>
      <protection locked="0"/>
    </xf>
    <xf numFmtId="49" fontId="8" fillId="0" borderId="6" xfId="0" quotePrefix="1" applyNumberFormat="1" applyFont="1" applyBorder="1" applyAlignment="1" applyProtection="1">
      <alignment horizontal="center" vertical="center" wrapText="1"/>
      <protection locked="0"/>
    </xf>
    <xf numFmtId="0" fontId="8" fillId="0" borderId="5" xfId="0" quotePrefix="1" applyFont="1" applyBorder="1" applyAlignment="1" applyProtection="1">
      <alignment horizontal="center" vertical="center" wrapText="1"/>
      <protection locked="0"/>
    </xf>
    <xf numFmtId="0" fontId="8" fillId="0" borderId="6" xfId="0" quotePrefix="1"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9" fillId="20" borderId="4" xfId="0" applyFont="1" applyFill="1" applyBorder="1" applyAlignment="1">
      <alignment horizontal="center" vertical="center" wrapText="1"/>
    </xf>
    <xf numFmtId="0" fontId="8" fillId="19" borderId="14" xfId="0" applyFont="1" applyFill="1" applyBorder="1" applyAlignment="1" applyProtection="1">
      <alignment horizontal="center" vertical="center" wrapText="1"/>
      <protection locked="0"/>
    </xf>
    <xf numFmtId="0" fontId="8" fillId="19" borderId="15" xfId="0" applyFont="1" applyFill="1" applyBorder="1" applyAlignment="1" applyProtection="1">
      <alignment horizontal="center" vertical="center" wrapText="1"/>
      <protection locked="0"/>
    </xf>
    <xf numFmtId="0" fontId="8" fillId="17" borderId="5" xfId="0" applyFont="1" applyFill="1" applyBorder="1" applyAlignment="1" applyProtection="1">
      <alignment horizontal="center" vertical="center" wrapText="1"/>
      <protection locked="0"/>
    </xf>
    <xf numFmtId="0" fontId="8" fillId="17" borderId="6"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left" vertical="center" wrapText="1"/>
      <protection locked="0"/>
    </xf>
    <xf numFmtId="0" fontId="17" fillId="2" borderId="16" xfId="0"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44" fontId="15" fillId="11" borderId="5" xfId="1" applyFont="1" applyFill="1" applyBorder="1" applyAlignment="1" applyProtection="1">
      <alignment horizontal="center" vertical="center" wrapText="1"/>
      <protection locked="0"/>
    </xf>
    <xf numFmtId="44" fontId="15" fillId="11" borderId="16" xfId="1" applyFont="1" applyFill="1" applyBorder="1" applyAlignment="1" applyProtection="1">
      <alignment horizontal="center" vertical="center" wrapText="1"/>
      <protection locked="0"/>
    </xf>
    <xf numFmtId="0" fontId="13" fillId="25" borderId="5" xfId="0" applyFont="1" applyFill="1" applyBorder="1" applyAlignment="1" applyProtection="1">
      <alignment horizontal="center" vertical="center" wrapText="1"/>
      <protection locked="0"/>
    </xf>
    <xf numFmtId="0" fontId="13" fillId="25" borderId="16" xfId="0" applyFont="1" applyFill="1" applyBorder="1" applyAlignment="1" applyProtection="1">
      <alignment horizontal="center" vertical="center" wrapText="1"/>
      <protection locked="0"/>
    </xf>
    <xf numFmtId="6" fontId="18" fillId="2" borderId="5" xfId="0" applyNumberFormat="1" applyFont="1" applyFill="1" applyBorder="1" applyAlignment="1" applyProtection="1">
      <alignment horizontal="right" vertical="center"/>
      <protection locked="0"/>
    </xf>
    <xf numFmtId="6" fontId="18" fillId="2" borderId="16" xfId="0" applyNumberFormat="1" applyFont="1" applyFill="1" applyBorder="1" applyAlignment="1" applyProtection="1">
      <alignment horizontal="right" vertical="center"/>
      <protection locked="0"/>
    </xf>
    <xf numFmtId="44" fontId="15" fillId="11" borderId="5" xfId="1" applyFont="1" applyFill="1" applyBorder="1" applyAlignment="1" applyProtection="1">
      <alignment horizontal="center" vertical="center" wrapText="1"/>
    </xf>
    <xf numFmtId="0" fontId="15" fillId="0" borderId="5" xfId="0" applyFont="1" applyBorder="1" applyAlignment="1" applyProtection="1">
      <alignment horizontal="center" vertical="center" wrapText="1"/>
      <protection locked="0"/>
    </xf>
    <xf numFmtId="0" fontId="18" fillId="18" borderId="5" xfId="0" applyFont="1" applyFill="1" applyBorder="1" applyAlignment="1" applyProtection="1">
      <alignment horizontal="center" vertical="center"/>
      <protection locked="0"/>
    </xf>
    <xf numFmtId="0" fontId="18" fillId="18" borderId="16" xfId="0" applyFont="1" applyFill="1" applyBorder="1" applyAlignment="1" applyProtection="1">
      <alignment horizontal="center" vertical="center"/>
      <protection locked="0"/>
    </xf>
    <xf numFmtId="0" fontId="15" fillId="12" borderId="5" xfId="0" applyFont="1" applyFill="1" applyBorder="1" applyAlignment="1" applyProtection="1">
      <alignment horizontal="left" vertical="center"/>
      <protection locked="0"/>
    </xf>
    <xf numFmtId="0" fontId="15" fillId="12" borderId="16" xfId="0" applyFont="1" applyFill="1" applyBorder="1" applyAlignment="1" applyProtection="1">
      <alignment horizontal="left" vertical="center"/>
      <protection locked="0"/>
    </xf>
    <xf numFmtId="0" fontId="18" fillId="21" borderId="5" xfId="0" applyFont="1" applyFill="1" applyBorder="1" applyAlignment="1">
      <alignment horizontal="center" vertical="center" wrapText="1"/>
    </xf>
    <xf numFmtId="0" fontId="18" fillId="21" borderId="16" xfId="0" applyFont="1" applyFill="1" applyBorder="1" applyAlignment="1">
      <alignment horizontal="center" vertical="center" wrapText="1"/>
    </xf>
    <xf numFmtId="0" fontId="19" fillId="0" borderId="5" xfId="31" applyFont="1" applyBorder="1" applyAlignment="1">
      <alignment horizontal="center" vertical="center" wrapText="1"/>
    </xf>
    <xf numFmtId="0" fontId="19" fillId="0" borderId="16" xfId="31" applyFont="1" applyBorder="1" applyAlignment="1">
      <alignment horizontal="center" vertical="center" wrapText="1"/>
    </xf>
    <xf numFmtId="6" fontId="18" fillId="2" borderId="6" xfId="0" applyNumberFormat="1" applyFont="1" applyFill="1" applyBorder="1" applyAlignment="1" applyProtection="1">
      <alignment horizontal="right" vertical="center"/>
      <protection locked="0"/>
    </xf>
    <xf numFmtId="0" fontId="22" fillId="18" borderId="28" xfId="0" applyFont="1" applyFill="1" applyBorder="1" applyAlignment="1" applyProtection="1">
      <alignment horizontal="center" vertical="center"/>
      <protection locked="0"/>
    </xf>
    <xf numFmtId="0" fontId="22" fillId="18" borderId="6" xfId="0" applyFont="1" applyFill="1" applyBorder="1" applyAlignment="1" applyProtection="1">
      <alignment horizontal="center" vertical="center"/>
      <protection locked="0"/>
    </xf>
    <xf numFmtId="0" fontId="22" fillId="18" borderId="28" xfId="0" applyFont="1" applyFill="1" applyBorder="1" applyAlignment="1" applyProtection="1">
      <alignment horizontal="center" vertical="center" wrapText="1"/>
      <protection locked="0"/>
    </xf>
    <xf numFmtId="0" fontId="22" fillId="18" borderId="6" xfId="0" applyFont="1" applyFill="1" applyBorder="1" applyAlignment="1" applyProtection="1">
      <alignment horizontal="center" vertical="center" wrapText="1"/>
      <protection locked="0"/>
    </xf>
    <xf numFmtId="49" fontId="21" fillId="0" borderId="28" xfId="0" quotePrefix="1" applyNumberFormat="1" applyFont="1" applyBorder="1" applyAlignment="1" applyProtection="1">
      <alignment horizontal="center" vertical="center" wrapText="1"/>
      <protection locked="0"/>
    </xf>
    <xf numFmtId="49" fontId="21" fillId="0" borderId="6" xfId="0" quotePrefix="1" applyNumberFormat="1" applyFont="1" applyBorder="1" applyAlignment="1" applyProtection="1">
      <alignment horizontal="center" vertical="center" wrapText="1"/>
      <protection locked="0"/>
    </xf>
    <xf numFmtId="0" fontId="21" fillId="0" borderId="28" xfId="0" quotePrefix="1" applyFont="1" applyBorder="1" applyAlignment="1" applyProtection="1">
      <alignment horizontal="center" vertical="center" wrapText="1"/>
      <protection locked="0"/>
    </xf>
    <xf numFmtId="0" fontId="21" fillId="0" borderId="6" xfId="0" quotePrefix="1" applyFont="1" applyBorder="1" applyAlignment="1" applyProtection="1">
      <alignment horizontal="center" vertical="center" wrapText="1"/>
      <protection locked="0"/>
    </xf>
    <xf numFmtId="0" fontId="13" fillId="0" borderId="2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44" fontId="14" fillId="11" borderId="30" xfId="1" applyFont="1" applyFill="1" applyBorder="1" applyAlignment="1" applyProtection="1">
      <alignment horizontal="center" vertical="center" wrapText="1"/>
    </xf>
    <xf numFmtId="44" fontId="14" fillId="11" borderId="23" xfId="1" applyFont="1" applyFill="1" applyBorder="1" applyAlignment="1" applyProtection="1">
      <alignment horizontal="center" vertical="center" wrapText="1"/>
    </xf>
    <xf numFmtId="0" fontId="21" fillId="0" borderId="2"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13" fillId="0" borderId="19" xfId="0" applyFont="1" applyBorder="1" applyAlignment="1">
      <alignment vertical="center" wrapText="1"/>
    </xf>
    <xf numFmtId="0" fontId="13" fillId="0" borderId="24" xfId="0" applyFont="1" applyBorder="1" applyAlignment="1">
      <alignment vertical="center" wrapText="1"/>
    </xf>
    <xf numFmtId="0" fontId="14" fillId="12" borderId="28" xfId="0" applyFont="1" applyFill="1" applyBorder="1" applyAlignment="1" applyProtection="1">
      <alignment horizontal="center" vertical="center"/>
      <protection locked="0"/>
    </xf>
    <xf numFmtId="0" fontId="14" fillId="12" borderId="16"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21" fillId="0" borderId="28"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13" fillId="0" borderId="27" xfId="0" applyFont="1" applyBorder="1" applyAlignment="1">
      <alignment vertical="center" wrapText="1"/>
    </xf>
  </cellXfs>
  <cellStyles count="32">
    <cellStyle name="BodyStyle" xfId="3" xr:uid="{00000000-0005-0000-0000-000000000000}"/>
    <cellStyle name="HeaderStyle" xfId="2" xr:uid="{00000000-0005-0000-0000-000001000000}"/>
    <cellStyle name="Hipervínculo" xfId="31" builtinId="8"/>
    <cellStyle name="Hyperlink" xfId="4" xr:uid="{00000000-0005-0000-0000-000003000000}"/>
    <cellStyle name="Millares 2" xfId="7" xr:uid="{00000000-0005-0000-0000-000004000000}"/>
    <cellStyle name="Millares 2 2" xfId="25" xr:uid="{00000000-0005-0000-0000-000005000000}"/>
    <cellStyle name="Millares 2 3" xfId="20" xr:uid="{00000000-0005-0000-0000-000006000000}"/>
    <cellStyle name="Millares 2 4" xfId="14" xr:uid="{00000000-0005-0000-0000-000007000000}"/>
    <cellStyle name="Millares 3" xfId="10" xr:uid="{00000000-0005-0000-0000-000008000000}"/>
    <cellStyle name="Millares 3 2" xfId="27" xr:uid="{00000000-0005-0000-0000-000009000000}"/>
    <cellStyle name="Millares 3 3" xfId="22" xr:uid="{00000000-0005-0000-0000-00000A000000}"/>
    <cellStyle name="Millares 3 4" xfId="16" xr:uid="{00000000-0005-0000-0000-00000B000000}"/>
    <cellStyle name="Moneda" xfId="1" builtinId="4"/>
    <cellStyle name="Moneda [0] 2" xfId="9" xr:uid="{00000000-0005-0000-0000-00000D000000}"/>
    <cellStyle name="Moneda 2" xfId="8" xr:uid="{00000000-0005-0000-0000-00000E000000}"/>
    <cellStyle name="Moneda 2 2" xfId="26" xr:uid="{00000000-0005-0000-0000-00000F000000}"/>
    <cellStyle name="Moneda 2 3" xfId="21" xr:uid="{00000000-0005-0000-0000-000010000000}"/>
    <cellStyle name="Moneda 2 4" xfId="15" xr:uid="{00000000-0005-0000-0000-000011000000}"/>
    <cellStyle name="Moneda 3" xfId="5" xr:uid="{00000000-0005-0000-0000-000012000000}"/>
    <cellStyle name="Moneda 3 2" xfId="24" xr:uid="{00000000-0005-0000-0000-000013000000}"/>
    <cellStyle name="Moneda 3 3" xfId="19" xr:uid="{00000000-0005-0000-0000-000014000000}"/>
    <cellStyle name="Moneda 3 4" xfId="13" xr:uid="{00000000-0005-0000-0000-000015000000}"/>
    <cellStyle name="Moneda 4" xfId="18" xr:uid="{00000000-0005-0000-0000-000016000000}"/>
    <cellStyle name="Moneda 5" xfId="23" xr:uid="{00000000-0005-0000-0000-000017000000}"/>
    <cellStyle name="Moneda 6" xfId="17" xr:uid="{00000000-0005-0000-0000-000018000000}"/>
    <cellStyle name="Moneda 7" xfId="12" xr:uid="{00000000-0005-0000-0000-000019000000}"/>
    <cellStyle name="Moneda 8" xfId="28" xr:uid="{00000000-0005-0000-0000-00001A000000}"/>
    <cellStyle name="Moneda 9" xfId="29" xr:uid="{00000000-0005-0000-0000-00001B000000}"/>
    <cellStyle name="Normal" xfId="0" builtinId="0"/>
    <cellStyle name="Normal 2" xfId="11" xr:uid="{00000000-0005-0000-0000-00001D000000}"/>
    <cellStyle name="Normal 4" xfId="6" xr:uid="{00000000-0005-0000-0000-00001E000000}"/>
    <cellStyle name="Porcentaje" xfId="30" builtinId="5"/>
  </cellStyles>
  <dxfs count="3">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ra/Downloads/7.%20FOR-PES-001_FichaProyectos_Inversion_GDO_2026%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wnloads\ATENEA(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wnloads\FOR-PES-001%20-%2044102%20Fortalecimiento%20del%20Acceso%20Atenea%202026%20-%20011220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zcarate\Downloads\Ficha%20de%20inversi&#243;n%2042103%20versi&#243;n%202%20-2%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vperezb/Desktop/GED%202026/FICHA%20DE%20INVERSI&#211;N/Ficha%20de%20inversio&#769;n%20%202026%20V%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vperezb/Desktop/GED%202024/FICHA%20DE%20INVERSI&#211;N/FORPES-001_42103_%20Ficha_Proyectos%20Inversion%20ajustada%2015-10-2024%20versi&#243;n%2012%20aju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vperezb/Desktop/GED%202025/FICHA%20DE%20INVERSI&#211;N/VERSI&#211;N%2011/FOR-PES-001-%20Movimiento%20de%20ficha%20versi&#243;n%2011-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smazcaratez/Downloads/Ficha%20Versi&#243;n%20No.%202%20Vigencia%202026%20(3)%20Ajustad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sazcarate/Downloads/42101-%20Movilidad%20Docente%20y%20Estudiantil%202026-%20VERSION%202%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sazcarate/Downloads/FOR-PES-001_FichaProyectos_InversionV07%20-%2043203%20Nuevas%20instalaciones%20V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Sandra/Downloads/FOR-PES-001_FichaProyectos_InversionV07-%2043202%20Infraestructura%20y%20Dotaci&#243;n%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yrojasn/Desktop/ODP/2026/44101-SBU-Bienestar/FOR-PES-001_FichaProyectos_Inversion%2044101-2026%20vf%20(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Leidy%20-%202025\2025%20-%20Leidy\SOLICITUDES%20GIF\Proyecci&#243;n%20de%20fichas\43202%20-%20GESTI&#211;N%20Y%20MEJORAMIENTO%20INFRAESTRUCTURA\V1\FOR-PES-001_FichaProyectos_InversionV07-%2043202%20Infraestructura%20y%20Dotaci&#243;n%20V1%20-%20Proyectad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yrojasn\Desktop\ODP\2026\44101-SBU-Bienestar\FOR-PES-001_FichaProyectos_Inversion%2044101-2026%20vf%20(1)%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yrojasn\Desktop\ODP\2026\42102-CIUP-Investigaci&#243;n\FichaProyectos_Inversion%20Desarrollo%20de%20la%20politica%20de%20investigaci&#243;n%202026_17DIC%20(1).xlsx"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jacortesg\OneDrive%20-%20Universidad%20Pedagogica%20Nacional\SGPCIUP%20-%20Documentos\Ficha%20de%20inversi&#243;n%202025\FICHA%20DE%20INVERSI&#211;N%20-DES%20POLITICA\VERSI&#211;N%208\FOR-PES-001_FichaProyecto%20Des%20de%20la%20Politica%20de%20Investigaci&#243;n%20-%20V8%20(1).xlsx?40D3129E" TargetMode="External"/><Relationship Id="rId1" Type="http://schemas.openxmlformats.org/officeDocument/2006/relationships/externalLinkPath" Target="file:///\\40D3129E\FOR-PES-001_FichaProyecto%20Des%20de%20la%20Politica%20de%20Investigaci&#243;n%20-%20V8%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yrojasn\Desktop\ODP\2026\41201-VAC-Forma_Profe\Formulaci&#243;n%2041201%20Formacio&#769;n%20acade&#769;mica%20y%20desarrollo%20profesoral%202026%20v1-Ajustad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dyrojasn\Desktop\ODP\2026\41102-CLE-Len_Extranjera\Formulaci&#243;n%2041102%20Formaci&#243;n%20de%20Lengua%20Extranjera%202026%20v1-Ajustado%20PA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smazcaratez\Downloads\Ficha%20Versi&#243;n%20No.%202%20Vigencia%202026%20(3)%20Ajustad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yrojasn/Desktop/ODP/2026/41201-VAC-Forma_Profe/Formulaci&#243;n%2041201%20Formacio&#769;n%20acade&#769;mica%20y%20desarrollo%20profesoral%202026%20v1-Ajustad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yrojasn/Desktop/ODP/2026/41102-CLE-Len_Extranjera/Formulaci&#243;n%2041102%20Formaci&#243;n%20de%20Lengua%20Extranjera%202026%20v1-Ajustado%20PA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3A8C2C\FORPES001-Construcci&#243;n%20de%20la%20Facultad%20de%20Educaci&#243;n%20F&#237;sica%20del%20proyecto%20VALMAR&#205;A%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o-034362\Users\Daniela\Dropbox\Mi%20PC%20(LAPTOP-0CLH4TP0)\Desktop\GIF%20-%202024\PROYECTOS%20DE%20INVERSI&#211;N\43201%20-%20VALMAR&#205;A\FORPES001-Construcci&#243;n%20de%20la%20Facultad%20de%20Educaci&#243;n%20F&#237;sica%20del%20proyecto%20VALMAR&#205;A%20V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025%20-%20Leidy\SOLICITUDES%20GIF\1.%20FICHAS%20DE%20INVERSI&#211;N\43201%20-%20VALMAR&#205;A\V13\FOR-PES-001_FichaProyectos_Inversion%20-%2043201%20Valmar&#237;a%20V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zcarate/Downloads/Formulaci&#243;n%2043103%20Gesti&#243;n%20de%20Bases%20de%20datos%20e%20infraestructura%20bibliogr&#225;fica%20-%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wnloads\FOR-PES-001%20-%2044102%20Fortalecimiento%20del%20Acceso%20Atenea%202026%20-%200112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row r="145">
          <cell r="B145" t="str">
            <v>20.07</v>
          </cell>
          <cell r="C145" t="str">
            <v>Aportes de Otras Entidades-Bogotá (Atenea JE 2)</v>
          </cell>
        </row>
        <row r="146">
          <cell r="B146" t="str">
            <v>20.11</v>
          </cell>
          <cell r="C146" t="str">
            <v>Recursos Propios Atenea JE 3</v>
          </cell>
        </row>
        <row r="147">
          <cell r="B147" t="str">
            <v>20.12</v>
          </cell>
          <cell r="C147" t="str">
            <v>Recursos Propios Atenea JE 4</v>
          </cell>
        </row>
        <row r="148">
          <cell r="B148" t="str">
            <v>21.10.23</v>
          </cell>
          <cell r="C148" t="str">
            <v xml:space="preserve">Recursos del Balance- Plan de Fomento al Bienestar </v>
          </cell>
        </row>
        <row r="149">
          <cell r="B149" t="str">
            <v>21.20.28</v>
          </cell>
          <cell r="C149" t="str">
            <v>Rendimientos recursos cooperativas- gestión</v>
          </cell>
        </row>
        <row r="150">
          <cell r="B150" t="str">
            <v>21.20.20</v>
          </cell>
          <cell r="C150" t="str">
            <v>Recursos del Balance- Infraestructura, Dotación y Tecnología</v>
          </cell>
        </row>
        <row r="151">
          <cell r="B151" t="str">
            <v>21.20.08</v>
          </cell>
          <cell r="C151" t="str">
            <v>Rendimientos Recursos Propios - Excedentes Cooperativas</v>
          </cell>
        </row>
        <row r="152">
          <cell r="B152" t="str">
            <v>10.18</v>
          </cell>
          <cell r="C152" t="str">
            <v>Plan Fomento Bienestar PFB</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 val="Hoja1"/>
      <sheetName val="Hoja3"/>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
      <sheetName val="LISTAS SEGUI"/>
    </sheetNames>
    <sheetDataSet>
      <sheetData sheetId="0" refreshError="1"/>
      <sheetData sheetId="1" refreshError="1"/>
      <sheetData sheetId="2" refreshError="1"/>
      <sheetData sheetId="3" refreshError="1"/>
      <sheetData sheetId="4" refreshError="1">
        <row r="134">
          <cell r="A134" t="str">
            <v>41101</v>
          </cell>
          <cell r="B134" t="str">
            <v>DIGNIFICACIÓN DE LA LABOR DOCENTE</v>
          </cell>
          <cell r="C134" t="str">
            <v>41101</v>
          </cell>
        </row>
        <row r="135">
          <cell r="A135" t="str">
            <v>41102</v>
          </cell>
          <cell r="B135" t="str">
            <v>FORMACIÓN DE LENGUA EXTRANJERA</v>
          </cell>
          <cell r="C135" t="str">
            <v>41102</v>
          </cell>
        </row>
        <row r="136">
          <cell r="A136" t="str">
            <v>42101</v>
          </cell>
          <cell r="B136" t="str">
            <v>MOVILIDAD DOCENTE Y ESTUDIANTIL</v>
          </cell>
          <cell r="C136" t="str">
            <v>42101</v>
          </cell>
        </row>
        <row r="137">
          <cell r="A137" t="str">
            <v>42102</v>
          </cell>
          <cell r="B137" t="str">
            <v>DESARROLLO DE LA POLÍTICA DE INVESTIGACIÓN UPN</v>
          </cell>
          <cell r="C137" t="str">
            <v>42102</v>
          </cell>
        </row>
        <row r="138">
          <cell r="A138" t="str">
            <v>42103</v>
          </cell>
          <cell r="B138" t="str">
            <v>MEJORAMIENTO DE LA PRODUCCIÓN, CIRCULACIÓN Y APROPIACIÓN SOCIAL DEL CONOCIMIENTO</v>
          </cell>
          <cell r="C138" t="str">
            <v>42103</v>
          </cell>
        </row>
        <row r="139">
          <cell r="A139" t="str">
            <v>43101</v>
          </cell>
          <cell r="B139" t="str">
            <v>MEJORAMIENTO DE LA GESTIÓN INSTITUCIONAL DE LA UPN</v>
          </cell>
          <cell r="C139" t="str">
            <v>43101</v>
          </cell>
        </row>
        <row r="140">
          <cell r="A140" t="str">
            <v>43102</v>
          </cell>
          <cell r="B140" t="str">
            <v>MEJORAMIENTO DE LA INFRAESTRUCTURA TECNOLÓGICA</v>
          </cell>
          <cell r="C140" t="str">
            <v>43102</v>
          </cell>
        </row>
        <row r="141">
          <cell r="A141" t="str">
            <v>43103</v>
          </cell>
          <cell r="B141" t="str">
            <v xml:space="preserve">GESTIÓN DE BASES DE DATOS E INFRAESTRUCTURA BIBLIOGRAFICA </v>
          </cell>
          <cell r="C141" t="str">
            <v>43103</v>
          </cell>
        </row>
        <row r="142">
          <cell r="A142" t="str">
            <v>43201</v>
          </cell>
          <cell r="B142" t="str">
            <v>CONSTRUCCIÓN DE LA FACULTAD DE EDUCACIÓN FÍSICA DEL PROYECTO VALMARÍA</v>
          </cell>
          <cell r="C142" t="str">
            <v>43201</v>
          </cell>
        </row>
        <row r="143">
          <cell r="A143" t="str">
            <v>43202</v>
          </cell>
          <cell r="B143" t="str">
            <v>GESTIÓN Y MEJORAMIENTO DE LA INFRAESTRUCTURA Y DOTACIÓN UPN</v>
          </cell>
          <cell r="C143" t="str">
            <v>43202</v>
          </cell>
        </row>
        <row r="144">
          <cell r="A144" t="str">
            <v>44101</v>
          </cell>
          <cell r="B144" t="str">
            <v>BIENESTAR ESTUDIANTIL INTEGRAL</v>
          </cell>
          <cell r="C144" t="str">
            <v>44101</v>
          </cell>
        </row>
      </sheetData>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Modificación 1."/>
      <sheetName val="Hoja1"/>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Listas"/>
      <sheetName val="Fuentes"/>
    </sheetNames>
    <sheetDataSet>
      <sheetData sheetId="0"/>
      <sheetData sheetId="1"/>
      <sheetData sheetId="2">
        <row r="11">
          <cell r="A11">
            <v>43203</v>
          </cell>
          <cell r="B11" t="str">
            <v>CONSTRUCCIÓN Y ADQUISICIÓN DE NUEVAS INSTALACIONES</v>
          </cell>
          <cell r="C11" t="str">
            <v>Adecuación de espacios académicos y administrativos</v>
          </cell>
          <cell r="D11" t="str">
            <v>Grupo Interno de Trabajo de Infraestructura Física</v>
          </cell>
          <cell r="E11" t="str">
            <v>2.3.2 Adquisición de bienes y servicios</v>
          </cell>
          <cell r="F11" t="str">
            <v>2.3.2.01.01.004.01.01.02 Muebles del tipo utilizado en la oficina</v>
          </cell>
          <cell r="G11">
            <v>9651552</v>
          </cell>
          <cell r="H11" t="str">
            <v>21.10.21</v>
          </cell>
          <cell r="I11" t="str">
            <v>Rendimientos Financieros Nacionales Inversión  Infraestructura</v>
          </cell>
          <cell r="O11" t="str">
            <v>Adquirir e instalar mobiliario para las distintas áreas de la Universidad Pedagógica Nacional</v>
          </cell>
          <cell r="P11" t="str">
            <v>ENERO</v>
          </cell>
          <cell r="Q11" t="str">
            <v>ENERO</v>
          </cell>
          <cell r="R11">
            <v>1</v>
          </cell>
          <cell r="S11" t="str">
            <v>MES(ES)</v>
          </cell>
          <cell r="T11" t="str">
            <v>Contratación directa.</v>
          </cell>
          <cell r="U11">
            <v>9651552</v>
          </cell>
          <cell r="V11">
            <v>9651552</v>
          </cell>
          <cell r="W11" t="str">
            <v>NO</v>
          </cell>
          <cell r="X11" t="str">
            <v>NA</v>
          </cell>
          <cell r="Z11" t="str">
            <v>CO-DC</v>
          </cell>
          <cell r="AD11" t="str">
            <v>NO</v>
          </cell>
          <cell r="AE11" t="str">
            <v>SI</v>
          </cell>
          <cell r="AF11" t="str">
            <v>Directo</v>
          </cell>
          <cell r="AG11" t="str">
            <v>Todas</v>
          </cell>
          <cell r="AH11" t="str">
            <v>Todos</v>
          </cell>
          <cell r="AI11" t="str">
            <v>No Aplica</v>
          </cell>
          <cell r="AJ11" t="str">
            <v>Educación Y Nuevas Tecnologías</v>
          </cell>
          <cell r="AK11" t="str">
            <v>Fortalecimiento Institucional</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refreshError="1"/>
      <sheetData sheetId="1" refreshError="1"/>
      <sheetData sheetId="2" refreshError="1"/>
      <sheetData sheetId="3" refreshError="1"/>
      <sheetData sheetId="4" refreshError="1"/>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row r="145">
          <cell r="B145" t="str">
            <v>20.07</v>
          </cell>
          <cell r="C145" t="str">
            <v>Aportes de Otras Entidades-Bogotá (Atenea JE 2)</v>
          </cell>
        </row>
        <row r="146">
          <cell r="B146" t="str">
            <v>20.11</v>
          </cell>
          <cell r="C146" t="str">
            <v>Recursos Propios Atenea JE 3</v>
          </cell>
        </row>
        <row r="147">
          <cell r="B147" t="str">
            <v>20.12</v>
          </cell>
          <cell r="C147" t="str">
            <v>Recursos Propios Atenea JE 4</v>
          </cell>
        </row>
        <row r="148">
          <cell r="B148" t="str">
            <v>21.10.23</v>
          </cell>
          <cell r="C148" t="str">
            <v xml:space="preserve">Recursos del Balance- Plan de Fomento al Bienestar </v>
          </cell>
        </row>
        <row r="149">
          <cell r="B149" t="str">
            <v>21.20.28</v>
          </cell>
          <cell r="C149" t="str">
            <v>Rendimientos recursos cooperativas- gestión</v>
          </cell>
        </row>
        <row r="150">
          <cell r="B150" t="str">
            <v>21.20.20</v>
          </cell>
          <cell r="C150" t="str">
            <v>Recursos del Balance- Infraestructura, Dotación y Tecnología</v>
          </cell>
        </row>
        <row r="151">
          <cell r="B151" t="str">
            <v>10.18</v>
          </cell>
          <cell r="C151" t="str">
            <v>Plan Fomento Bienestar PFB</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 Seguimiento"/>
      <sheetName val="PAA"/>
      <sheetName val="Hoja3"/>
      <sheetName val="Hoja1"/>
      <sheetName val="Hoja2"/>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rogramación- Seguimiento"/>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refreshError="1"/>
      <sheetData sheetId="1" refreshError="1"/>
      <sheetData sheetId="2" refreshError="1"/>
      <sheetData sheetId="3" refreshError="1"/>
      <sheetData sheetId="4" refreshError="1">
        <row r="5">
          <cell r="C5" t="str">
            <v xml:space="preserve">CÓDIGO  </v>
          </cell>
          <cell r="D5" t="str">
            <v>CONCEPTO DEL RECURSO</v>
          </cell>
        </row>
        <row r="6">
          <cell r="C6">
            <v>10.02</v>
          </cell>
          <cell r="D6" t="str">
            <v>Aportes de la Nacion - Inversion</v>
          </cell>
        </row>
        <row r="7">
          <cell r="C7">
            <v>10.029999999999999</v>
          </cell>
          <cell r="D7" t="str">
            <v>Aportes de la Nación - Inversión Recurso SUE-PFC</v>
          </cell>
        </row>
        <row r="8">
          <cell r="C8">
            <v>17</v>
          </cell>
          <cell r="D8" t="str">
            <v>Recursos Estampilla UNAL y Otras Universidades</v>
          </cell>
        </row>
        <row r="9">
          <cell r="C9">
            <v>20.010000000000002</v>
          </cell>
          <cell r="D9" t="str">
            <v>Recursos Propios</v>
          </cell>
        </row>
        <row r="10">
          <cell r="C10">
            <v>20.04</v>
          </cell>
          <cell r="D10" t="str">
            <v>Recursos Propios - Aportes de Otras Entidades</v>
          </cell>
        </row>
        <row r="11">
          <cell r="C11">
            <v>20.07</v>
          </cell>
          <cell r="D11" t="str">
            <v>Recursos Propios - Atenea</v>
          </cell>
        </row>
        <row r="12">
          <cell r="C12" t="str">
            <v>21.10.02</v>
          </cell>
          <cell r="D12" t="str">
            <v>Recursos del Balance - Aportes Nación Inversion</v>
          </cell>
        </row>
        <row r="13">
          <cell r="C13" t="str">
            <v>21.10.06</v>
          </cell>
          <cell r="D13" t="str">
            <v>Recursos del Balance - Inversión - PFC-SUE</v>
          </cell>
        </row>
        <row r="14">
          <cell r="C14" t="str">
            <v>21.10.07</v>
          </cell>
          <cell r="D14" t="str">
            <v>Rendimientos PFC-SUE</v>
          </cell>
        </row>
        <row r="15">
          <cell r="C15" t="str">
            <v>21.10.10</v>
          </cell>
          <cell r="D15" t="str">
            <v>Rendimientos Recursos Nación Inversión</v>
          </cell>
        </row>
        <row r="16">
          <cell r="C16" t="str">
            <v>21.17.01</v>
          </cell>
          <cell r="D16" t="str">
            <v>Recursos del Balance - Estampilla UNAL</v>
          </cell>
        </row>
        <row r="17">
          <cell r="C17" t="str">
            <v>21.17.02</v>
          </cell>
          <cell r="D17" t="str">
            <v>Rendimientos Financieros - UNAL y Otras Universidades</v>
          </cell>
        </row>
        <row r="18">
          <cell r="C18" t="str">
            <v>21.20.01</v>
          </cell>
          <cell r="D18" t="str">
            <v>Recursos del Balance - Propios</v>
          </cell>
        </row>
        <row r="19">
          <cell r="C19" t="str">
            <v>21.20.04</v>
          </cell>
          <cell r="D19" t="str">
            <v>Recursos del Balance - Aportes otras entidades</v>
          </cell>
        </row>
        <row r="20">
          <cell r="C20" t="str">
            <v>21.26.01</v>
          </cell>
          <cell r="D20" t="str">
            <v>Recursos del Balance - Estampilla UPN</v>
          </cell>
        </row>
        <row r="21">
          <cell r="C21" t="str">
            <v>21.26.02</v>
          </cell>
          <cell r="D21" t="str">
            <v>Rendimientos Financieros - Estampilla UPN</v>
          </cell>
        </row>
        <row r="22">
          <cell r="C22">
            <v>26</v>
          </cell>
          <cell r="D22" t="str">
            <v>Recursos Estampilla UPN</v>
          </cell>
        </row>
        <row r="23">
          <cell r="C23">
            <v>10.01</v>
          </cell>
          <cell r="D23" t="str">
            <v>Aportes de la Nacion - Funcionamiento</v>
          </cell>
        </row>
        <row r="24">
          <cell r="C24">
            <v>10.050000000000001</v>
          </cell>
          <cell r="D24" t="str">
            <v>Aportes Nación - Cooperativas</v>
          </cell>
        </row>
        <row r="25">
          <cell r="C25">
            <v>10.08</v>
          </cell>
          <cell r="D25" t="str">
            <v>Recuperacion votaciones</v>
          </cell>
        </row>
        <row r="26">
          <cell r="C26">
            <v>10.09</v>
          </cell>
          <cell r="D26" t="str">
            <v>CESU</v>
          </cell>
        </row>
        <row r="27">
          <cell r="C27">
            <v>10.119999999999999</v>
          </cell>
          <cell r="D27" t="str">
            <v>Devolucion IVA Instituciones de Educacion Superior</v>
          </cell>
        </row>
        <row r="28">
          <cell r="C28">
            <v>10.17</v>
          </cell>
          <cell r="D28" t="str">
            <v>Aportes Funcionamiento IPN</v>
          </cell>
        </row>
        <row r="29">
          <cell r="C29">
            <v>20.02</v>
          </cell>
          <cell r="D29" t="str">
            <v>Recursos Propios - Asesoria</v>
          </cell>
        </row>
        <row r="30">
          <cell r="C30">
            <v>20.03</v>
          </cell>
          <cell r="D30" t="str">
            <v>Recursos Propios - Extension</v>
          </cell>
        </row>
        <row r="31">
          <cell r="C31" t="str">
            <v>21.10.01</v>
          </cell>
          <cell r="D31" t="str">
            <v>Recursos del Balance - Aportes Nación Funcionamiento</v>
          </cell>
        </row>
        <row r="32">
          <cell r="C32" t="str">
            <v>21.10.03</v>
          </cell>
          <cell r="D32" t="str">
            <v>Recursos del balance - Rendimientos recursos nación</v>
          </cell>
        </row>
        <row r="33">
          <cell r="C33" t="str">
            <v>21.10.08</v>
          </cell>
          <cell r="D33" t="str">
            <v>Rendimientos Financieros Nación - Excedentes Cooperativas-MEN</v>
          </cell>
        </row>
        <row r="34">
          <cell r="C34" t="str">
            <v>21.10.12</v>
          </cell>
          <cell r="D34" t="str">
            <v>Recursos del Balance-Devolución IVA</v>
          </cell>
        </row>
        <row r="35">
          <cell r="C35" t="str">
            <v>21.10.18</v>
          </cell>
          <cell r="D35" t="str">
            <v>Rendimientos Financieros-Aportes Funcionamiento IPN-UPN</v>
          </cell>
        </row>
        <row r="36">
          <cell r="C36" t="str">
            <v>21.10.19</v>
          </cell>
          <cell r="D36" t="str">
            <v>Rendimientos Financieros-Devolución IVA</v>
          </cell>
        </row>
      </sheetData>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c@upn.edu.co" TargetMode="External"/><Relationship Id="rId18" Type="http://schemas.openxmlformats.org/officeDocument/2006/relationships/hyperlink" Target="mailto:vac@upn.edu.co" TargetMode="External"/><Relationship Id="rId26" Type="http://schemas.openxmlformats.org/officeDocument/2006/relationships/hyperlink" Target="mailto:vac@upn.edu.co" TargetMode="External"/><Relationship Id="rId39" Type="http://schemas.openxmlformats.org/officeDocument/2006/relationships/hyperlink" Target="mailto:vac@upn.edu.co" TargetMode="External"/><Relationship Id="rId21" Type="http://schemas.openxmlformats.org/officeDocument/2006/relationships/hyperlink" Target="mailto:vac@upn.edu.co" TargetMode="External"/><Relationship Id="rId34" Type="http://schemas.openxmlformats.org/officeDocument/2006/relationships/hyperlink" Target="mailto:vac@upn.edu.co" TargetMode="External"/><Relationship Id="rId42" Type="http://schemas.openxmlformats.org/officeDocument/2006/relationships/hyperlink" Target="mailto:vac@upn.edu.co" TargetMode="External"/><Relationship Id="rId7" Type="http://schemas.openxmlformats.org/officeDocument/2006/relationships/hyperlink" Target="mailto:VAD@PEDAGOGICA.EDU.CO" TargetMode="External"/><Relationship Id="rId2" Type="http://schemas.openxmlformats.org/officeDocument/2006/relationships/hyperlink" Target="mailto:VAD@PEDAGOGICA.EDU.CO" TargetMode="External"/><Relationship Id="rId16" Type="http://schemas.openxmlformats.org/officeDocument/2006/relationships/hyperlink" Target="mailto:vac@upn.edu.co" TargetMode="External"/><Relationship Id="rId29" Type="http://schemas.openxmlformats.org/officeDocument/2006/relationships/hyperlink" Target="mailto:vac@upn.edu.co" TargetMode="External"/><Relationship Id="rId1" Type="http://schemas.openxmlformats.org/officeDocument/2006/relationships/hyperlink" Target="mailto:VAD@PEDAGOGICA.EDU.CO" TargetMode="External"/><Relationship Id="rId6" Type="http://schemas.openxmlformats.org/officeDocument/2006/relationships/hyperlink" Target="mailto:VAD@PEDAGOGICA.EDU.CO" TargetMode="External"/><Relationship Id="rId11" Type="http://schemas.openxmlformats.org/officeDocument/2006/relationships/hyperlink" Target="mailto:vac@upn.edu.co" TargetMode="External"/><Relationship Id="rId24" Type="http://schemas.openxmlformats.org/officeDocument/2006/relationships/hyperlink" Target="mailto:vac@upn.edu.co" TargetMode="External"/><Relationship Id="rId32" Type="http://schemas.openxmlformats.org/officeDocument/2006/relationships/hyperlink" Target="mailto:vac@upn.edu.co" TargetMode="External"/><Relationship Id="rId37" Type="http://schemas.openxmlformats.org/officeDocument/2006/relationships/hyperlink" Target="mailto:vac@upn.edu.co" TargetMode="External"/><Relationship Id="rId40" Type="http://schemas.openxmlformats.org/officeDocument/2006/relationships/hyperlink" Target="mailto:vac@upn.edu.co" TargetMode="External"/><Relationship Id="rId45" Type="http://schemas.openxmlformats.org/officeDocument/2006/relationships/vmlDrawing" Target="../drawings/vmlDrawing1.vml"/><Relationship Id="rId5" Type="http://schemas.openxmlformats.org/officeDocument/2006/relationships/hyperlink" Target="mailto:VAD@PEDAGOGICA.EDU.CO" TargetMode="External"/><Relationship Id="rId15" Type="http://schemas.openxmlformats.org/officeDocument/2006/relationships/hyperlink" Target="mailto:vac@upn.edu.co" TargetMode="External"/><Relationship Id="rId23" Type="http://schemas.openxmlformats.org/officeDocument/2006/relationships/hyperlink" Target="mailto:vac@upn.edu.co" TargetMode="External"/><Relationship Id="rId28" Type="http://schemas.openxmlformats.org/officeDocument/2006/relationships/hyperlink" Target="mailto:vac@upn.edu.co" TargetMode="External"/><Relationship Id="rId36" Type="http://schemas.openxmlformats.org/officeDocument/2006/relationships/hyperlink" Target="mailto:vac@upn.edu.co" TargetMode="External"/><Relationship Id="rId10" Type="http://schemas.openxmlformats.org/officeDocument/2006/relationships/hyperlink" Target="mailto:vac@upn.edu.co" TargetMode="External"/><Relationship Id="rId19" Type="http://schemas.openxmlformats.org/officeDocument/2006/relationships/hyperlink" Target="mailto:vac@upn.edu.co" TargetMode="External"/><Relationship Id="rId31" Type="http://schemas.openxmlformats.org/officeDocument/2006/relationships/hyperlink" Target="mailto:vac@upn.edu.co" TargetMode="External"/><Relationship Id="rId44" Type="http://schemas.openxmlformats.org/officeDocument/2006/relationships/printerSettings" Target="../printerSettings/printerSettings1.bin"/><Relationship Id="rId4" Type="http://schemas.openxmlformats.org/officeDocument/2006/relationships/hyperlink" Target="mailto:VAD@PEDAGOGICA.EDU.CO" TargetMode="External"/><Relationship Id="rId9" Type="http://schemas.openxmlformats.org/officeDocument/2006/relationships/hyperlink" Target="mailto:vac@upn.edu.co" TargetMode="External"/><Relationship Id="rId14" Type="http://schemas.openxmlformats.org/officeDocument/2006/relationships/hyperlink" Target="mailto:vac@upn.edu.co" TargetMode="External"/><Relationship Id="rId22" Type="http://schemas.openxmlformats.org/officeDocument/2006/relationships/hyperlink" Target="mailto:vac@upn.edu.co" TargetMode="External"/><Relationship Id="rId27" Type="http://schemas.openxmlformats.org/officeDocument/2006/relationships/hyperlink" Target="mailto:vac@upn.edu.co" TargetMode="External"/><Relationship Id="rId30" Type="http://schemas.openxmlformats.org/officeDocument/2006/relationships/hyperlink" Target="mailto:vac@upn.edu.co" TargetMode="External"/><Relationship Id="rId35" Type="http://schemas.openxmlformats.org/officeDocument/2006/relationships/hyperlink" Target="mailto:vac@upn.edu.co" TargetMode="External"/><Relationship Id="rId43" Type="http://schemas.openxmlformats.org/officeDocument/2006/relationships/hyperlink" Target="mailto:vac@upn.edu.co" TargetMode="External"/><Relationship Id="rId8" Type="http://schemas.openxmlformats.org/officeDocument/2006/relationships/hyperlink" Target="mailto:vac@upn.edu.co" TargetMode="External"/><Relationship Id="rId3" Type="http://schemas.openxmlformats.org/officeDocument/2006/relationships/hyperlink" Target="mailto:VAD@PEDAGOGICA.EDU.CO" TargetMode="External"/><Relationship Id="rId12" Type="http://schemas.openxmlformats.org/officeDocument/2006/relationships/hyperlink" Target="mailto:vac@upn.edu.co" TargetMode="External"/><Relationship Id="rId17" Type="http://schemas.openxmlformats.org/officeDocument/2006/relationships/hyperlink" Target="mailto:vac@upn.edu.co" TargetMode="External"/><Relationship Id="rId25" Type="http://schemas.openxmlformats.org/officeDocument/2006/relationships/hyperlink" Target="mailto:vac@upn.edu.co" TargetMode="External"/><Relationship Id="rId33" Type="http://schemas.openxmlformats.org/officeDocument/2006/relationships/hyperlink" Target="mailto:vac@upn.edu.co" TargetMode="External"/><Relationship Id="rId38" Type="http://schemas.openxmlformats.org/officeDocument/2006/relationships/hyperlink" Target="mailto:vac@upn.edu.co" TargetMode="External"/><Relationship Id="rId46" Type="http://schemas.openxmlformats.org/officeDocument/2006/relationships/comments" Target="../comments1.xml"/><Relationship Id="rId20" Type="http://schemas.openxmlformats.org/officeDocument/2006/relationships/hyperlink" Target="mailto:vac@upn.edu.co" TargetMode="External"/><Relationship Id="rId41" Type="http://schemas.openxmlformats.org/officeDocument/2006/relationships/hyperlink" Target="mailto:vac@upn.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229"/>
  <sheetViews>
    <sheetView tabSelected="1" topLeftCell="G1" zoomScale="80" zoomScaleNormal="80" workbookViewId="0">
      <selection activeCell="K7" sqref="K7:AA128"/>
    </sheetView>
  </sheetViews>
  <sheetFormatPr baseColWidth="10" defaultColWidth="11.42578125" defaultRowHeight="145.5" customHeight="1"/>
  <cols>
    <col min="1" max="1" width="9.140625" style="83" customWidth="1"/>
    <col min="2" max="2" width="24" style="84" customWidth="1"/>
    <col min="3" max="3" width="23.42578125" style="34" customWidth="1"/>
    <col min="4" max="4" width="22.42578125" style="34" customWidth="1"/>
    <col min="5" max="5" width="17.42578125" style="34" customWidth="1"/>
    <col min="6" max="6" width="26.5703125" style="34" customWidth="1"/>
    <col min="7" max="7" width="18.140625" style="85" customWidth="1"/>
    <col min="8" max="8" width="14.5703125" style="83" customWidth="1"/>
    <col min="9" max="9" width="22.85546875" style="34" customWidth="1"/>
    <col min="10" max="10" width="14.5703125" style="83" bestFit="1" customWidth="1"/>
    <col min="11" max="11" width="11.42578125" style="83"/>
    <col min="12" max="12" width="13.5703125" style="83" customWidth="1"/>
    <col min="13" max="13" width="17.5703125" style="83" customWidth="1"/>
    <col min="14" max="14" width="16.28515625" style="83" customWidth="1"/>
    <col min="15" max="15" width="44.5703125" style="34" customWidth="1"/>
    <col min="16" max="17" width="10.42578125" style="83" customWidth="1"/>
    <col min="18" max="18" width="9.42578125" style="83" customWidth="1"/>
    <col min="19" max="19" width="11.42578125" style="83"/>
    <col min="20" max="20" width="12.140625" style="91" customWidth="1"/>
    <col min="21" max="21" width="16.5703125" style="86" customWidth="1"/>
    <col min="22" max="22" width="19.85546875" style="86" customWidth="1"/>
    <col min="23" max="24" width="11.42578125" style="83"/>
    <col min="25" max="25" width="19.28515625" style="83" customWidth="1"/>
    <col min="26" max="26" width="11.42578125" style="83"/>
    <col min="27" max="27" width="24.5703125" style="83" customWidth="1"/>
    <col min="28" max="28" width="20.42578125" style="83" customWidth="1"/>
    <col min="29" max="29" width="25.5703125" style="87" customWidth="1"/>
    <col min="30" max="35" width="11.42578125" style="34"/>
    <col min="36" max="36" width="15" style="34" customWidth="1"/>
    <col min="37" max="37" width="17.5703125" style="34" customWidth="1"/>
    <col min="38" max="38" width="14.140625" style="34" customWidth="1"/>
    <col min="39" max="16384" width="11.42578125" style="34"/>
  </cols>
  <sheetData>
    <row r="1" spans="1:37" ht="12.75">
      <c r="A1" s="484" t="s">
        <v>0</v>
      </c>
      <c r="B1" s="484"/>
      <c r="C1" s="484"/>
      <c r="D1" s="484"/>
      <c r="E1" s="484"/>
      <c r="F1" s="485"/>
      <c r="G1" s="485"/>
      <c r="H1" s="484"/>
      <c r="I1" s="484"/>
      <c r="J1" s="484"/>
      <c r="K1" s="484"/>
      <c r="L1" s="485"/>
      <c r="M1" s="484"/>
      <c r="N1" s="484"/>
      <c r="O1" s="484"/>
      <c r="P1" s="484"/>
      <c r="Q1" s="484"/>
      <c r="R1" s="484"/>
      <c r="S1" s="484"/>
      <c r="T1" s="486"/>
      <c r="U1" s="484"/>
      <c r="V1" s="484"/>
      <c r="W1" s="484"/>
      <c r="X1" s="484"/>
      <c r="Y1" s="484"/>
      <c r="Z1" s="484"/>
      <c r="AA1" s="484"/>
      <c r="AB1" s="484"/>
      <c r="AC1" s="486"/>
      <c r="AD1" s="484"/>
      <c r="AE1" s="484"/>
      <c r="AF1" s="484"/>
      <c r="AG1" s="484"/>
      <c r="AH1" s="484"/>
      <c r="AI1" s="484"/>
      <c r="AJ1" s="484"/>
      <c r="AK1" s="484"/>
    </row>
    <row r="2" spans="1:37" ht="12.75">
      <c r="A2" s="484" t="s">
        <v>61</v>
      </c>
      <c r="B2" s="484"/>
      <c r="C2" s="484"/>
      <c r="D2" s="484"/>
      <c r="E2" s="484"/>
      <c r="F2" s="485"/>
      <c r="G2" s="485"/>
      <c r="H2" s="484"/>
      <c r="I2" s="484"/>
      <c r="J2" s="484"/>
      <c r="K2" s="484"/>
      <c r="L2" s="485"/>
      <c r="M2" s="484"/>
      <c r="N2" s="484"/>
      <c r="O2" s="484"/>
      <c r="P2" s="484"/>
      <c r="Q2" s="484"/>
      <c r="R2" s="484"/>
      <c r="S2" s="484"/>
      <c r="T2" s="486"/>
      <c r="U2" s="484"/>
      <c r="V2" s="484"/>
      <c r="W2" s="484"/>
      <c r="X2" s="484"/>
      <c r="Y2" s="484"/>
      <c r="Z2" s="484"/>
      <c r="AA2" s="484"/>
      <c r="AB2" s="484"/>
      <c r="AC2" s="486"/>
      <c r="AD2" s="484"/>
      <c r="AE2" s="484"/>
      <c r="AF2" s="484"/>
      <c r="AG2" s="484"/>
      <c r="AH2" s="484"/>
      <c r="AI2" s="484"/>
      <c r="AJ2" s="484"/>
      <c r="AK2" s="484"/>
    </row>
    <row r="3" spans="1:37" ht="12.75">
      <c r="A3" s="484"/>
      <c r="B3" s="484"/>
      <c r="C3" s="484"/>
      <c r="D3" s="484"/>
      <c r="E3" s="484"/>
      <c r="F3" s="485"/>
      <c r="G3" s="485"/>
      <c r="H3" s="484"/>
      <c r="I3" s="484"/>
      <c r="J3" s="484"/>
      <c r="K3" s="484"/>
      <c r="L3" s="485"/>
      <c r="M3" s="484"/>
      <c r="N3" s="484"/>
      <c r="O3" s="484"/>
      <c r="P3" s="484"/>
      <c r="Q3" s="484"/>
      <c r="R3" s="484"/>
      <c r="S3" s="484"/>
      <c r="T3" s="486"/>
      <c r="U3" s="484"/>
      <c r="V3" s="484"/>
      <c r="W3" s="484"/>
      <c r="X3" s="484"/>
      <c r="Y3" s="484"/>
      <c r="Z3" s="484"/>
      <c r="AA3" s="484"/>
      <c r="AB3" s="484"/>
      <c r="AC3" s="486"/>
      <c r="AD3" s="484"/>
      <c r="AE3" s="484"/>
      <c r="AF3" s="484"/>
      <c r="AG3" s="484"/>
      <c r="AH3" s="484"/>
      <c r="AI3" s="484"/>
      <c r="AJ3" s="484"/>
      <c r="AK3" s="484"/>
    </row>
    <row r="4" spans="1:37" ht="12.75">
      <c r="A4" s="487" t="s">
        <v>1</v>
      </c>
      <c r="B4" s="487"/>
      <c r="C4" s="487"/>
      <c r="D4" s="487"/>
      <c r="E4" s="487"/>
      <c r="F4" s="488"/>
      <c r="G4" s="488"/>
      <c r="H4" s="487"/>
      <c r="I4" s="487"/>
      <c r="J4" s="487"/>
      <c r="K4" s="487"/>
      <c r="L4" s="488"/>
      <c r="M4" s="487"/>
      <c r="N4" s="487"/>
      <c r="O4" s="487"/>
      <c r="P4" s="487"/>
      <c r="Q4" s="487"/>
      <c r="R4" s="487"/>
      <c r="S4" s="487"/>
      <c r="T4" s="489"/>
      <c r="U4" s="487"/>
      <c r="V4" s="487"/>
      <c r="W4" s="487"/>
      <c r="X4" s="487"/>
      <c r="Y4" s="487"/>
      <c r="Z4" s="487"/>
      <c r="AA4" s="487"/>
      <c r="AB4" s="487"/>
      <c r="AC4" s="489"/>
      <c r="AD4" s="487"/>
      <c r="AE4" s="487"/>
      <c r="AF4" s="487"/>
      <c r="AG4" s="487"/>
      <c r="AH4" s="487"/>
      <c r="AI4" s="487"/>
      <c r="AJ4" s="487"/>
      <c r="AK4" s="487"/>
    </row>
    <row r="5" spans="1:37" ht="12.75">
      <c r="A5" s="490">
        <v>46048</v>
      </c>
      <c r="B5" s="490"/>
      <c r="C5" s="490"/>
      <c r="D5" s="490"/>
      <c r="E5" s="490"/>
      <c r="F5" s="491"/>
      <c r="G5" s="491"/>
      <c r="H5" s="490"/>
      <c r="I5" s="490"/>
      <c r="J5" s="490"/>
      <c r="K5" s="490"/>
      <c r="L5" s="491"/>
      <c r="M5" s="490"/>
      <c r="N5" s="490"/>
      <c r="O5" s="490"/>
      <c r="P5" s="490"/>
      <c r="Q5" s="490"/>
      <c r="R5" s="490"/>
      <c r="S5" s="490"/>
      <c r="T5" s="492"/>
      <c r="U5" s="490"/>
      <c r="V5" s="490"/>
      <c r="W5" s="490"/>
      <c r="X5" s="490"/>
      <c r="Y5" s="490"/>
      <c r="Z5" s="490"/>
      <c r="AA5" s="490"/>
      <c r="AB5" s="490"/>
      <c r="AC5" s="492"/>
      <c r="AD5" s="490"/>
      <c r="AE5" s="490"/>
      <c r="AF5" s="490"/>
      <c r="AG5" s="490"/>
      <c r="AH5" s="490"/>
      <c r="AI5" s="490"/>
      <c r="AJ5" s="490"/>
      <c r="AK5" s="490"/>
    </row>
    <row r="6" spans="1:37" ht="12.75">
      <c r="A6" s="495" t="s">
        <v>2</v>
      </c>
      <c r="B6" s="495"/>
      <c r="C6" s="495"/>
      <c r="D6" s="495"/>
      <c r="E6" s="495"/>
      <c r="F6" s="488"/>
      <c r="G6" s="488"/>
      <c r="H6" s="495"/>
      <c r="I6" s="495"/>
      <c r="J6" s="495"/>
      <c r="K6" s="495"/>
      <c r="L6" s="488"/>
      <c r="M6" s="496" t="s">
        <v>3</v>
      </c>
      <c r="N6" s="496"/>
      <c r="O6" s="496"/>
      <c r="P6" s="496"/>
      <c r="Q6" s="496"/>
      <c r="R6" s="496"/>
      <c r="S6" s="496"/>
      <c r="T6" s="496"/>
      <c r="U6" s="496"/>
      <c r="V6" s="496"/>
      <c r="W6" s="496"/>
      <c r="X6" s="496"/>
      <c r="Y6" s="496"/>
      <c r="Z6" s="496"/>
      <c r="AA6" s="496"/>
      <c r="AB6" s="496"/>
      <c r="AC6" s="496"/>
      <c r="AD6" s="496"/>
      <c r="AE6" s="496"/>
      <c r="AF6" s="493" t="s">
        <v>4</v>
      </c>
      <c r="AG6" s="493"/>
      <c r="AH6" s="493"/>
      <c r="AI6" s="494" t="s">
        <v>5</v>
      </c>
      <c r="AJ6" s="494"/>
      <c r="AK6" s="494"/>
    </row>
    <row r="7" spans="1:37" ht="83.25" customHeight="1">
      <c r="A7" s="76" t="s">
        <v>6</v>
      </c>
      <c r="B7" s="76" t="s">
        <v>7</v>
      </c>
      <c r="C7" s="76" t="s">
        <v>8</v>
      </c>
      <c r="D7" s="76" t="s">
        <v>9</v>
      </c>
      <c r="E7" s="76" t="s">
        <v>10</v>
      </c>
      <c r="F7" s="76" t="s">
        <v>11</v>
      </c>
      <c r="G7" s="76" t="s">
        <v>12</v>
      </c>
      <c r="H7" s="76" t="s">
        <v>13</v>
      </c>
      <c r="I7" s="76" t="s">
        <v>14</v>
      </c>
      <c r="J7" s="76" t="s">
        <v>15</v>
      </c>
      <c r="K7" s="76" t="s">
        <v>16</v>
      </c>
      <c r="L7" s="76" t="s">
        <v>17</v>
      </c>
      <c r="M7" s="77" t="s">
        <v>18</v>
      </c>
      <c r="N7" s="77" t="s">
        <v>19</v>
      </c>
      <c r="O7" s="77" t="s">
        <v>20</v>
      </c>
      <c r="P7" s="77" t="s">
        <v>21</v>
      </c>
      <c r="Q7" s="77" t="s">
        <v>22</v>
      </c>
      <c r="R7" s="77" t="s">
        <v>23</v>
      </c>
      <c r="S7" s="77" t="s">
        <v>24</v>
      </c>
      <c r="T7" s="77" t="s">
        <v>25</v>
      </c>
      <c r="U7" s="78" t="s">
        <v>26</v>
      </c>
      <c r="V7" s="78" t="s">
        <v>27</v>
      </c>
      <c r="W7" s="77" t="s">
        <v>28</v>
      </c>
      <c r="X7" s="77" t="s">
        <v>29</v>
      </c>
      <c r="Y7" s="79" t="s">
        <v>30</v>
      </c>
      <c r="Z7" s="79" t="s">
        <v>31</v>
      </c>
      <c r="AA7" s="79" t="s">
        <v>32</v>
      </c>
      <c r="AB7" s="79" t="s">
        <v>33</v>
      </c>
      <c r="AC7" s="79" t="s">
        <v>34</v>
      </c>
      <c r="AD7" s="80" t="s">
        <v>35</v>
      </c>
      <c r="AE7" s="77" t="s">
        <v>36</v>
      </c>
      <c r="AF7" s="81" t="s">
        <v>37</v>
      </c>
      <c r="AG7" s="81" t="s">
        <v>38</v>
      </c>
      <c r="AH7" s="81" t="s">
        <v>39</v>
      </c>
      <c r="AI7" s="82" t="s">
        <v>37</v>
      </c>
      <c r="AJ7" s="82" t="s">
        <v>40</v>
      </c>
      <c r="AK7" s="82" t="s">
        <v>41</v>
      </c>
    </row>
    <row r="8" spans="1:37" s="17" customFormat="1" ht="39.75" hidden="1" customHeight="1">
      <c r="A8" s="3">
        <v>43104</v>
      </c>
      <c r="B8" s="4" t="str">
        <f>IFERROR(VLOOKUP(A8,[1]Listas!$A$91:$B$107,2,FALSE),"")</f>
        <v>GESTIÓN Y MEMORIA DOCUMENTAL INSTITUCIONAL</v>
      </c>
      <c r="C8" s="5" t="s">
        <v>57</v>
      </c>
      <c r="D8" s="6" t="s">
        <v>58</v>
      </c>
      <c r="E8" s="7" t="s">
        <v>59</v>
      </c>
      <c r="F8" s="6" t="s">
        <v>54</v>
      </c>
      <c r="G8" s="103">
        <v>50000000</v>
      </c>
      <c r="H8" s="3" t="s">
        <v>42</v>
      </c>
      <c r="I8" s="101" t="str">
        <f>IFERROR(VLOOKUP(H8,[1]Listas!$B$126:$C$144,2,FALSE),"")</f>
        <v>Aportes de la Nacion - Inversion</v>
      </c>
      <c r="J8" s="3">
        <v>1</v>
      </c>
      <c r="K8" s="3" t="s">
        <v>47</v>
      </c>
      <c r="L8" s="22"/>
      <c r="M8" s="8" t="str">
        <f>"INV-"&amp;A8&amp;"-"&amp;J8</f>
        <v>INV-43104-1</v>
      </c>
      <c r="N8" s="6" t="s">
        <v>376</v>
      </c>
      <c r="O8" s="9" t="s">
        <v>62</v>
      </c>
      <c r="P8" s="10" t="s">
        <v>51</v>
      </c>
      <c r="Q8" s="10" t="s">
        <v>52</v>
      </c>
      <c r="R8" s="7">
        <v>3</v>
      </c>
      <c r="S8" s="11" t="s">
        <v>45</v>
      </c>
      <c r="T8" s="11" t="s">
        <v>48</v>
      </c>
      <c r="U8" s="12">
        <v>50000000</v>
      </c>
      <c r="V8" s="12">
        <v>50000000</v>
      </c>
      <c r="W8" s="10" t="s">
        <v>43</v>
      </c>
      <c r="X8" s="10" t="s">
        <v>46</v>
      </c>
      <c r="Y8" s="13" t="s">
        <v>380</v>
      </c>
      <c r="Z8" s="6" t="s">
        <v>49</v>
      </c>
      <c r="AA8" s="13" t="s">
        <v>60</v>
      </c>
      <c r="AB8" s="6" t="s">
        <v>101</v>
      </c>
      <c r="AC8" s="6" t="s">
        <v>50</v>
      </c>
      <c r="AD8" s="14" t="s">
        <v>43</v>
      </c>
      <c r="AE8" s="15" t="s">
        <v>47</v>
      </c>
      <c r="AF8" s="16" t="s">
        <v>53</v>
      </c>
      <c r="AG8" s="16"/>
      <c r="AH8" s="16"/>
      <c r="AI8" s="16" t="s">
        <v>53</v>
      </c>
      <c r="AJ8" s="16"/>
      <c r="AK8" s="16"/>
    </row>
    <row r="9" spans="1:37" s="17" customFormat="1" ht="51" hidden="1">
      <c r="A9" s="18">
        <v>43104</v>
      </c>
      <c r="B9" s="19" t="str">
        <f>IFERROR(VLOOKUP(A9,[1]Listas!$A$91:$B$107,2,FALSE),"")</f>
        <v>GESTIÓN Y MEMORIA DOCUMENTAL INSTITUCIONAL</v>
      </c>
      <c r="C9" s="20" t="s">
        <v>57</v>
      </c>
      <c r="D9" s="21" t="s">
        <v>58</v>
      </c>
      <c r="E9" s="22" t="s">
        <v>59</v>
      </c>
      <c r="F9" s="21" t="s">
        <v>54</v>
      </c>
      <c r="G9" s="104">
        <f>100491737-G10</f>
        <v>97939509</v>
      </c>
      <c r="H9" s="18" t="s">
        <v>42</v>
      </c>
      <c r="I9" s="21" t="str">
        <f>IFERROR(VLOOKUP(H9,[1]Listas!$B$126:$C$144,2,FALSE),"")</f>
        <v>Aportes de la Nacion - Inversion</v>
      </c>
      <c r="J9" s="18">
        <v>2</v>
      </c>
      <c r="K9" s="453" t="s">
        <v>47</v>
      </c>
      <c r="L9" s="497"/>
      <c r="M9" s="507" t="str">
        <f>"INV-"&amp;A9&amp;"-"&amp;J9</f>
        <v>INV-43104-2</v>
      </c>
      <c r="N9" s="481">
        <v>80111600</v>
      </c>
      <c r="O9" s="9" t="s">
        <v>63</v>
      </c>
      <c r="P9" s="474" t="s">
        <v>55</v>
      </c>
      <c r="Q9" s="474" t="s">
        <v>44</v>
      </c>
      <c r="R9" s="473">
        <v>6</v>
      </c>
      <c r="S9" s="474" t="s">
        <v>45</v>
      </c>
      <c r="T9" s="475" t="s">
        <v>48</v>
      </c>
      <c r="U9" s="476">
        <v>100491737</v>
      </c>
      <c r="V9" s="476">
        <v>100491737</v>
      </c>
      <c r="W9" s="474" t="s">
        <v>43</v>
      </c>
      <c r="X9" s="474" t="s">
        <v>46</v>
      </c>
      <c r="Y9" s="477" t="s">
        <v>380</v>
      </c>
      <c r="Z9" s="481" t="s">
        <v>49</v>
      </c>
      <c r="AA9" s="472" t="s">
        <v>60</v>
      </c>
      <c r="AB9" s="6" t="s">
        <v>101</v>
      </c>
      <c r="AC9" s="6" t="s">
        <v>50</v>
      </c>
      <c r="AD9" s="24" t="s">
        <v>43</v>
      </c>
      <c r="AE9" s="25" t="s">
        <v>47</v>
      </c>
      <c r="AF9" s="16" t="s">
        <v>53</v>
      </c>
      <c r="AG9" s="16"/>
      <c r="AH9" s="16"/>
      <c r="AI9" s="16" t="s">
        <v>53</v>
      </c>
      <c r="AJ9" s="16"/>
      <c r="AK9" s="16"/>
    </row>
    <row r="10" spans="1:37" s="17" customFormat="1" ht="51" hidden="1" customHeight="1">
      <c r="A10" s="18">
        <v>43104</v>
      </c>
      <c r="B10" s="19" t="str">
        <f>IFERROR(VLOOKUP(A10,[1]Listas!$A$91:$B$107,2,FALSE),"")</f>
        <v>GESTIÓN Y MEMORIA DOCUMENTAL INSTITUCIONAL</v>
      </c>
      <c r="C10" s="20" t="s">
        <v>57</v>
      </c>
      <c r="D10" s="21" t="s">
        <v>58</v>
      </c>
      <c r="E10" s="22" t="s">
        <v>59</v>
      </c>
      <c r="F10" s="21" t="s">
        <v>54</v>
      </c>
      <c r="G10" s="104">
        <v>2552228</v>
      </c>
      <c r="H10" s="21" t="s">
        <v>56</v>
      </c>
      <c r="I10" s="21" t="str">
        <f>IFERROR(VLOOKUP(H10,[1]Listas!$B$126:$C$152,2,FALSE),"")</f>
        <v>Rendimientos Recursos Propios - Excedentes Cooperativas</v>
      </c>
      <c r="J10" s="18">
        <v>2</v>
      </c>
      <c r="K10" s="454"/>
      <c r="L10" s="498"/>
      <c r="M10" s="507"/>
      <c r="N10" s="481"/>
      <c r="O10" s="9"/>
      <c r="P10" s="474"/>
      <c r="Q10" s="474"/>
      <c r="R10" s="473"/>
      <c r="S10" s="474"/>
      <c r="T10" s="475"/>
      <c r="U10" s="476"/>
      <c r="V10" s="476"/>
      <c r="W10" s="474"/>
      <c r="X10" s="474"/>
      <c r="Y10" s="478"/>
      <c r="Z10" s="481"/>
      <c r="AA10" s="472"/>
      <c r="AB10" s="6" t="s">
        <v>101</v>
      </c>
      <c r="AC10" s="6" t="s">
        <v>50</v>
      </c>
      <c r="AD10" s="24" t="s">
        <v>43</v>
      </c>
      <c r="AE10" s="25" t="s">
        <v>47</v>
      </c>
      <c r="AF10" s="16" t="s">
        <v>53</v>
      </c>
      <c r="AG10" s="16"/>
      <c r="AH10" s="16"/>
      <c r="AI10" s="16" t="s">
        <v>53</v>
      </c>
      <c r="AJ10" s="16"/>
      <c r="AK10" s="16"/>
    </row>
    <row r="11" spans="1:37" ht="38.25" hidden="1">
      <c r="A11" s="26">
        <v>44101</v>
      </c>
      <c r="B11" s="21" t="s">
        <v>64</v>
      </c>
      <c r="C11" s="27" t="s">
        <v>65</v>
      </c>
      <c r="D11" s="27" t="s">
        <v>66</v>
      </c>
      <c r="E11" s="27" t="s">
        <v>67</v>
      </c>
      <c r="F11" s="27" t="s">
        <v>68</v>
      </c>
      <c r="G11" s="105">
        <v>313170000.00000006</v>
      </c>
      <c r="H11" s="18">
        <v>17</v>
      </c>
      <c r="I11" s="106" t="str">
        <f>IFERROR(VLOOKUP(H11,[2]Listas!$B$126:$C$151,2,FALSE),"")</f>
        <v>Recursos Estampilla UNAL y Otras Universidades</v>
      </c>
      <c r="J11" s="18">
        <v>1</v>
      </c>
      <c r="K11" s="18" t="s">
        <v>43</v>
      </c>
      <c r="L11" s="22"/>
      <c r="M11" s="28" t="str">
        <f t="shared" ref="M11:M17" si="0">"INV-"&amp;A11&amp;"-"&amp;J11</f>
        <v>INV-44101-1</v>
      </c>
      <c r="N11" s="18" t="s">
        <v>53</v>
      </c>
      <c r="O11" s="27" t="s">
        <v>69</v>
      </c>
      <c r="P11" s="29" t="s">
        <v>44</v>
      </c>
      <c r="Q11" s="29" t="s">
        <v>44</v>
      </c>
      <c r="R11" s="18" t="s">
        <v>70</v>
      </c>
      <c r="S11" s="29" t="s">
        <v>70</v>
      </c>
      <c r="T11" s="29" t="s">
        <v>70</v>
      </c>
      <c r="U11" s="30">
        <v>313170000.00000006</v>
      </c>
      <c r="V11" s="30">
        <v>313170000.00000006</v>
      </c>
      <c r="W11" s="29" t="s">
        <v>43</v>
      </c>
      <c r="X11" s="29" t="s">
        <v>46</v>
      </c>
      <c r="Y11" s="13" t="s">
        <v>380</v>
      </c>
      <c r="Z11" s="23" t="s">
        <v>49</v>
      </c>
      <c r="AA11" s="31" t="s">
        <v>326</v>
      </c>
      <c r="AB11" s="6" t="s">
        <v>101</v>
      </c>
      <c r="AC11" s="6" t="s">
        <v>50</v>
      </c>
      <c r="AD11" s="32" t="s">
        <v>43</v>
      </c>
      <c r="AE11" s="32" t="s">
        <v>47</v>
      </c>
      <c r="AF11" s="33" t="s">
        <v>72</v>
      </c>
      <c r="AG11" s="33" t="s">
        <v>73</v>
      </c>
      <c r="AH11" s="33" t="s">
        <v>74</v>
      </c>
      <c r="AI11" s="33" t="s">
        <v>53</v>
      </c>
      <c r="AJ11" s="33" t="s">
        <v>75</v>
      </c>
      <c r="AK11" s="33" t="s">
        <v>76</v>
      </c>
    </row>
    <row r="12" spans="1:37" ht="38.25" hidden="1">
      <c r="A12" s="26">
        <v>44101</v>
      </c>
      <c r="B12" s="21" t="s">
        <v>64</v>
      </c>
      <c r="C12" s="27" t="s">
        <v>65</v>
      </c>
      <c r="D12" s="27" t="s">
        <v>66</v>
      </c>
      <c r="E12" s="27" t="s">
        <v>67</v>
      </c>
      <c r="F12" s="27" t="s">
        <v>68</v>
      </c>
      <c r="G12" s="105">
        <v>313170000.00000006</v>
      </c>
      <c r="H12" s="35">
        <v>17</v>
      </c>
      <c r="I12" s="106" t="str">
        <f>IFERROR(VLOOKUP(H12,[2]Listas!$B$126:$C$151,2,FALSE),"")</f>
        <v>Recursos Estampilla UNAL y Otras Universidades</v>
      </c>
      <c r="J12" s="18">
        <v>2</v>
      </c>
      <c r="K12" s="18" t="s">
        <v>43</v>
      </c>
      <c r="L12" s="22"/>
      <c r="M12" s="28" t="str">
        <f t="shared" si="0"/>
        <v>INV-44101-2</v>
      </c>
      <c r="N12" s="18" t="s">
        <v>53</v>
      </c>
      <c r="O12" s="27" t="s">
        <v>77</v>
      </c>
      <c r="P12" s="29" t="s">
        <v>78</v>
      </c>
      <c r="Q12" s="29" t="s">
        <v>78</v>
      </c>
      <c r="R12" s="18" t="s">
        <v>70</v>
      </c>
      <c r="S12" s="29" t="s">
        <v>70</v>
      </c>
      <c r="T12" s="29" t="s">
        <v>70</v>
      </c>
      <c r="U12" s="30">
        <v>313170000.00000006</v>
      </c>
      <c r="V12" s="30">
        <v>313170000.00000006</v>
      </c>
      <c r="W12" s="29" t="s">
        <v>43</v>
      </c>
      <c r="X12" s="29" t="s">
        <v>46</v>
      </c>
      <c r="Y12" s="13" t="s">
        <v>380</v>
      </c>
      <c r="Z12" s="23" t="s">
        <v>49</v>
      </c>
      <c r="AA12" s="31" t="s">
        <v>326</v>
      </c>
      <c r="AB12" s="6" t="s">
        <v>101</v>
      </c>
      <c r="AC12" s="6" t="s">
        <v>50</v>
      </c>
      <c r="AD12" s="32" t="s">
        <v>43</v>
      </c>
      <c r="AE12" s="32" t="s">
        <v>47</v>
      </c>
      <c r="AF12" s="33" t="s">
        <v>72</v>
      </c>
      <c r="AG12" s="33" t="s">
        <v>73</v>
      </c>
      <c r="AH12" s="33" t="s">
        <v>74</v>
      </c>
      <c r="AI12" s="33" t="s">
        <v>53</v>
      </c>
      <c r="AJ12" s="33" t="s">
        <v>75</v>
      </c>
      <c r="AK12" s="33" t="s">
        <v>76</v>
      </c>
    </row>
    <row r="13" spans="1:37" ht="51" hidden="1">
      <c r="A13" s="26">
        <v>44101</v>
      </c>
      <c r="B13" s="21" t="s">
        <v>64</v>
      </c>
      <c r="C13" s="27" t="s">
        <v>79</v>
      </c>
      <c r="D13" s="27" t="s">
        <v>66</v>
      </c>
      <c r="E13" s="27" t="s">
        <v>67</v>
      </c>
      <c r="F13" s="27" t="s">
        <v>68</v>
      </c>
      <c r="G13" s="105">
        <v>338223600.00000006</v>
      </c>
      <c r="H13" s="18">
        <v>17</v>
      </c>
      <c r="I13" s="106" t="str">
        <f>IFERROR(VLOOKUP(H13,[2]Listas!$B$126:$C$151,2,FALSE),"")</f>
        <v>Recursos Estampilla UNAL y Otras Universidades</v>
      </c>
      <c r="J13" s="18">
        <v>3</v>
      </c>
      <c r="K13" s="18" t="s">
        <v>43</v>
      </c>
      <c r="L13" s="22"/>
      <c r="M13" s="28" t="str">
        <f t="shared" si="0"/>
        <v>INV-44101-3</v>
      </c>
      <c r="N13" s="18" t="s">
        <v>70</v>
      </c>
      <c r="O13" s="27" t="s">
        <v>80</v>
      </c>
      <c r="P13" s="29" t="s">
        <v>44</v>
      </c>
      <c r="Q13" s="29" t="s">
        <v>44</v>
      </c>
      <c r="R13" s="18" t="s">
        <v>70</v>
      </c>
      <c r="S13" s="29" t="s">
        <v>70</v>
      </c>
      <c r="T13" s="29" t="s">
        <v>70</v>
      </c>
      <c r="U13" s="30">
        <v>338223600.00000006</v>
      </c>
      <c r="V13" s="30">
        <v>338223600.00000006</v>
      </c>
      <c r="W13" s="29" t="s">
        <v>43</v>
      </c>
      <c r="X13" s="29" t="s">
        <v>46</v>
      </c>
      <c r="Y13" s="13" t="s">
        <v>380</v>
      </c>
      <c r="Z13" s="23" t="s">
        <v>49</v>
      </c>
      <c r="AA13" s="31" t="s">
        <v>326</v>
      </c>
      <c r="AB13" s="6" t="s">
        <v>101</v>
      </c>
      <c r="AC13" s="6" t="s">
        <v>50</v>
      </c>
      <c r="AD13" s="32" t="s">
        <v>43</v>
      </c>
      <c r="AE13" s="32" t="s">
        <v>47</v>
      </c>
      <c r="AF13" s="33" t="s">
        <v>72</v>
      </c>
      <c r="AG13" s="33" t="s">
        <v>73</v>
      </c>
      <c r="AH13" s="33" t="s">
        <v>74</v>
      </c>
      <c r="AI13" s="33" t="s">
        <v>53</v>
      </c>
      <c r="AJ13" s="33" t="s">
        <v>75</v>
      </c>
      <c r="AK13" s="33" t="s">
        <v>76</v>
      </c>
    </row>
    <row r="14" spans="1:37" ht="51" hidden="1">
      <c r="A14" s="26">
        <v>44101</v>
      </c>
      <c r="B14" s="21" t="s">
        <v>64</v>
      </c>
      <c r="C14" s="27" t="s">
        <v>79</v>
      </c>
      <c r="D14" s="27" t="s">
        <v>66</v>
      </c>
      <c r="E14" s="27" t="s">
        <v>67</v>
      </c>
      <c r="F14" s="27" t="s">
        <v>68</v>
      </c>
      <c r="G14" s="105">
        <v>338223600.00000006</v>
      </c>
      <c r="H14" s="18">
        <v>17</v>
      </c>
      <c r="I14" s="106" t="str">
        <f>IFERROR(VLOOKUP(H14,[2]Listas!$B$126:$C$151,2,FALSE),"")</f>
        <v>Recursos Estampilla UNAL y Otras Universidades</v>
      </c>
      <c r="J14" s="18">
        <v>4</v>
      </c>
      <c r="K14" s="18" t="s">
        <v>43</v>
      </c>
      <c r="L14" s="22"/>
      <c r="M14" s="28" t="str">
        <f t="shared" si="0"/>
        <v>INV-44101-4</v>
      </c>
      <c r="N14" s="18" t="s">
        <v>70</v>
      </c>
      <c r="O14" s="27" t="s">
        <v>81</v>
      </c>
      <c r="P14" s="29" t="s">
        <v>78</v>
      </c>
      <c r="Q14" s="29" t="s">
        <v>78</v>
      </c>
      <c r="R14" s="18" t="s">
        <v>70</v>
      </c>
      <c r="S14" s="29" t="s">
        <v>70</v>
      </c>
      <c r="T14" s="29" t="s">
        <v>70</v>
      </c>
      <c r="U14" s="30">
        <v>338223600.00000006</v>
      </c>
      <c r="V14" s="30">
        <v>338223600.00000006</v>
      </c>
      <c r="W14" s="29" t="s">
        <v>43</v>
      </c>
      <c r="X14" s="29" t="s">
        <v>46</v>
      </c>
      <c r="Y14" s="13" t="s">
        <v>380</v>
      </c>
      <c r="Z14" s="23" t="s">
        <v>49</v>
      </c>
      <c r="AA14" s="31" t="s">
        <v>326</v>
      </c>
      <c r="AB14" s="6" t="s">
        <v>101</v>
      </c>
      <c r="AC14" s="6" t="s">
        <v>50</v>
      </c>
      <c r="AD14" s="32" t="s">
        <v>43</v>
      </c>
      <c r="AE14" s="32" t="s">
        <v>47</v>
      </c>
      <c r="AF14" s="33" t="s">
        <v>72</v>
      </c>
      <c r="AG14" s="33" t="s">
        <v>73</v>
      </c>
      <c r="AH14" s="33" t="s">
        <v>74</v>
      </c>
      <c r="AI14" s="33" t="s">
        <v>53</v>
      </c>
      <c r="AJ14" s="33" t="s">
        <v>75</v>
      </c>
      <c r="AK14" s="33" t="s">
        <v>76</v>
      </c>
    </row>
    <row r="15" spans="1:37" ht="46.5" hidden="1" customHeight="1">
      <c r="A15" s="26">
        <v>44101</v>
      </c>
      <c r="B15" s="22" t="s">
        <v>64</v>
      </c>
      <c r="C15" s="27" t="s">
        <v>82</v>
      </c>
      <c r="D15" s="27" t="s">
        <v>66</v>
      </c>
      <c r="E15" s="27" t="s">
        <v>67</v>
      </c>
      <c r="F15" s="27" t="s">
        <v>68</v>
      </c>
      <c r="G15" s="105">
        <v>179506512</v>
      </c>
      <c r="H15" s="18" t="s">
        <v>83</v>
      </c>
      <c r="I15" s="106" t="str">
        <f>IFERROR(VLOOKUP(H15,[2]Listas!$B$126:$C$151,2,FALSE),"")</f>
        <v>Recursos Propios - Aportes de Otras Entidades</v>
      </c>
      <c r="J15" s="18">
        <v>5</v>
      </c>
      <c r="K15" s="18" t="s">
        <v>43</v>
      </c>
      <c r="L15" s="22"/>
      <c r="M15" s="36" t="str">
        <f t="shared" si="0"/>
        <v>INV-44101-5</v>
      </c>
      <c r="N15" s="18" t="s">
        <v>53</v>
      </c>
      <c r="O15" s="27" t="s">
        <v>84</v>
      </c>
      <c r="P15" s="29" t="s">
        <v>44</v>
      </c>
      <c r="Q15" s="29" t="s">
        <v>44</v>
      </c>
      <c r="R15" s="18" t="s">
        <v>70</v>
      </c>
      <c r="S15" s="29" t="s">
        <v>70</v>
      </c>
      <c r="T15" s="29" t="s">
        <v>70</v>
      </c>
      <c r="U15" s="30">
        <v>179506512</v>
      </c>
      <c r="V15" s="30">
        <v>179506512</v>
      </c>
      <c r="W15" s="29" t="s">
        <v>43</v>
      </c>
      <c r="X15" s="29" t="s">
        <v>46</v>
      </c>
      <c r="Y15" s="13" t="s">
        <v>380</v>
      </c>
      <c r="Z15" s="23" t="s">
        <v>49</v>
      </c>
      <c r="AA15" s="31" t="s">
        <v>326</v>
      </c>
      <c r="AB15" s="6" t="s">
        <v>101</v>
      </c>
      <c r="AC15" s="6" t="s">
        <v>50</v>
      </c>
      <c r="AD15" s="32" t="s">
        <v>43</v>
      </c>
      <c r="AE15" s="32" t="s">
        <v>47</v>
      </c>
      <c r="AF15" s="33" t="s">
        <v>72</v>
      </c>
      <c r="AG15" s="33" t="s">
        <v>73</v>
      </c>
      <c r="AH15" s="33" t="s">
        <v>74</v>
      </c>
      <c r="AI15" s="33" t="s">
        <v>53</v>
      </c>
      <c r="AJ15" s="33" t="s">
        <v>75</v>
      </c>
      <c r="AK15" s="33" t="s">
        <v>76</v>
      </c>
    </row>
    <row r="16" spans="1:37" ht="102" hidden="1">
      <c r="A16" s="26">
        <v>44101</v>
      </c>
      <c r="B16" s="22" t="s">
        <v>64</v>
      </c>
      <c r="C16" s="27" t="s">
        <v>85</v>
      </c>
      <c r="D16" s="27" t="s">
        <v>66</v>
      </c>
      <c r="E16" s="27" t="s">
        <v>67</v>
      </c>
      <c r="F16" s="27" t="s">
        <v>86</v>
      </c>
      <c r="G16" s="105">
        <v>175090500</v>
      </c>
      <c r="H16" s="18" t="s">
        <v>87</v>
      </c>
      <c r="I16" s="106" t="str">
        <f>IFERROR(VLOOKUP(H16,[2]Listas!$B$126:$C$151,2,FALSE),"")</f>
        <v xml:space="preserve">Recursos del Balance- Plan de Fomento al Bienestar </v>
      </c>
      <c r="J16" s="18">
        <v>6</v>
      </c>
      <c r="K16" s="18" t="s">
        <v>47</v>
      </c>
      <c r="L16" s="22"/>
      <c r="M16" s="36" t="str">
        <f t="shared" si="0"/>
        <v>INV-44101-6</v>
      </c>
      <c r="N16" s="18" t="s">
        <v>362</v>
      </c>
      <c r="O16" s="27" t="s">
        <v>88</v>
      </c>
      <c r="P16" s="29" t="s">
        <v>55</v>
      </c>
      <c r="Q16" s="29" t="s">
        <v>55</v>
      </c>
      <c r="R16" s="18">
        <v>11</v>
      </c>
      <c r="S16" s="29" t="s">
        <v>45</v>
      </c>
      <c r="T16" s="44" t="s">
        <v>91</v>
      </c>
      <c r="U16" s="97">
        <v>175090500</v>
      </c>
      <c r="V16" s="97">
        <v>175090500</v>
      </c>
      <c r="W16" s="29" t="s">
        <v>43</v>
      </c>
      <c r="X16" s="29" t="s">
        <v>46</v>
      </c>
      <c r="Y16" s="13" t="s">
        <v>380</v>
      </c>
      <c r="Z16" s="18" t="s">
        <v>49</v>
      </c>
      <c r="AA16" s="93" t="s">
        <v>326</v>
      </c>
      <c r="AB16" s="6" t="s">
        <v>101</v>
      </c>
      <c r="AC16" s="6" t="s">
        <v>50</v>
      </c>
      <c r="AD16" s="32" t="s">
        <v>43</v>
      </c>
      <c r="AE16" s="32" t="s">
        <v>47</v>
      </c>
      <c r="AF16" s="33" t="s">
        <v>72</v>
      </c>
      <c r="AG16" s="33" t="s">
        <v>73</v>
      </c>
      <c r="AH16" s="33" t="s">
        <v>74</v>
      </c>
      <c r="AI16" s="33" t="s">
        <v>53</v>
      </c>
      <c r="AJ16" s="33" t="s">
        <v>75</v>
      </c>
      <c r="AK16" s="33" t="s">
        <v>76</v>
      </c>
    </row>
    <row r="17" spans="1:37" ht="102" hidden="1">
      <c r="A17" s="26">
        <v>44101</v>
      </c>
      <c r="B17" s="22" t="s">
        <v>64</v>
      </c>
      <c r="C17" s="27" t="s">
        <v>85</v>
      </c>
      <c r="D17" s="27" t="s">
        <v>66</v>
      </c>
      <c r="E17" s="27" t="s">
        <v>67</v>
      </c>
      <c r="F17" s="27" t="s">
        <v>86</v>
      </c>
      <c r="G17" s="105">
        <v>127309500</v>
      </c>
      <c r="H17" s="18" t="s">
        <v>87</v>
      </c>
      <c r="I17" s="106" t="str">
        <f>IFERROR(VLOOKUP(H17,[2]Listas!$B$126:$C$151,2,FALSE),"")</f>
        <v xml:space="preserve">Recursos del Balance- Plan de Fomento al Bienestar </v>
      </c>
      <c r="J17" s="18">
        <v>7</v>
      </c>
      <c r="K17" s="18" t="s">
        <v>47</v>
      </c>
      <c r="L17" s="22"/>
      <c r="M17" s="36" t="str">
        <f t="shared" si="0"/>
        <v>INV-44101-7</v>
      </c>
      <c r="N17" s="18" t="s">
        <v>362</v>
      </c>
      <c r="O17" s="27" t="s">
        <v>89</v>
      </c>
      <c r="P17" s="29" t="s">
        <v>52</v>
      </c>
      <c r="Q17" s="29" t="s">
        <v>52</v>
      </c>
      <c r="R17" s="18">
        <v>5</v>
      </c>
      <c r="S17" s="29" t="s">
        <v>45</v>
      </c>
      <c r="T17" s="44" t="s">
        <v>91</v>
      </c>
      <c r="U17" s="97">
        <v>127309500</v>
      </c>
      <c r="V17" s="97">
        <v>127309500</v>
      </c>
      <c r="W17" s="29" t="s">
        <v>43</v>
      </c>
      <c r="X17" s="29" t="s">
        <v>46</v>
      </c>
      <c r="Y17" s="13" t="s">
        <v>380</v>
      </c>
      <c r="Z17" s="18" t="s">
        <v>49</v>
      </c>
      <c r="AA17" s="93" t="s">
        <v>326</v>
      </c>
      <c r="AB17" s="6" t="s">
        <v>101</v>
      </c>
      <c r="AC17" s="6" t="s">
        <v>50</v>
      </c>
      <c r="AD17" s="32" t="s">
        <v>43</v>
      </c>
      <c r="AE17" s="32" t="s">
        <v>47</v>
      </c>
      <c r="AF17" s="33" t="s">
        <v>72</v>
      </c>
      <c r="AG17" s="33" t="s">
        <v>73</v>
      </c>
      <c r="AH17" s="33" t="s">
        <v>74</v>
      </c>
      <c r="AI17" s="33" t="s">
        <v>53</v>
      </c>
      <c r="AJ17" s="33" t="s">
        <v>75</v>
      </c>
      <c r="AK17" s="33" t="s">
        <v>76</v>
      </c>
    </row>
    <row r="18" spans="1:37" ht="76.5" hidden="1">
      <c r="A18" s="26">
        <v>44101</v>
      </c>
      <c r="B18" s="22" t="s">
        <v>64</v>
      </c>
      <c r="C18" s="27" t="s">
        <v>85</v>
      </c>
      <c r="D18" s="27" t="s">
        <v>66</v>
      </c>
      <c r="E18" s="27" t="s">
        <v>67</v>
      </c>
      <c r="F18" s="27" t="s">
        <v>90</v>
      </c>
      <c r="G18" s="105">
        <v>43659000</v>
      </c>
      <c r="H18" s="18" t="s">
        <v>87</v>
      </c>
      <c r="I18" s="106" t="s">
        <v>441</v>
      </c>
      <c r="J18" s="18">
        <v>8</v>
      </c>
      <c r="K18" s="18" t="s">
        <v>47</v>
      </c>
      <c r="L18" s="22"/>
      <c r="M18" s="36" t="s">
        <v>442</v>
      </c>
      <c r="N18" s="18" t="s">
        <v>377</v>
      </c>
      <c r="O18" s="27" t="s">
        <v>443</v>
      </c>
      <c r="P18" s="29" t="s">
        <v>55</v>
      </c>
      <c r="Q18" s="29" t="s">
        <v>55</v>
      </c>
      <c r="R18" s="18">
        <v>9</v>
      </c>
      <c r="S18" s="29" t="s">
        <v>45</v>
      </c>
      <c r="T18" s="44" t="s">
        <v>91</v>
      </c>
      <c r="U18" s="97">
        <v>43659000</v>
      </c>
      <c r="V18" s="97">
        <v>43659000</v>
      </c>
      <c r="W18" s="29" t="s">
        <v>43</v>
      </c>
      <c r="X18" s="29" t="s">
        <v>46</v>
      </c>
      <c r="Y18" s="13" t="s">
        <v>444</v>
      </c>
      <c r="Z18" s="18" t="s">
        <v>49</v>
      </c>
      <c r="AA18" s="93" t="s">
        <v>71</v>
      </c>
      <c r="AB18" s="6" t="s">
        <v>445</v>
      </c>
      <c r="AC18" s="6" t="s">
        <v>50</v>
      </c>
      <c r="AD18" s="32" t="s">
        <v>43</v>
      </c>
      <c r="AE18" s="32" t="s">
        <v>43</v>
      </c>
      <c r="AF18" s="33" t="s">
        <v>72</v>
      </c>
      <c r="AG18" s="33" t="s">
        <v>73</v>
      </c>
      <c r="AH18" s="33" t="s">
        <v>92</v>
      </c>
      <c r="AI18" s="33" t="s">
        <v>72</v>
      </c>
      <c r="AJ18" s="33" t="s">
        <v>93</v>
      </c>
      <c r="AK18" s="33" t="s">
        <v>76</v>
      </c>
    </row>
    <row r="19" spans="1:37" ht="76.5" hidden="1">
      <c r="A19" s="26">
        <v>44101</v>
      </c>
      <c r="B19" s="22" t="s">
        <v>64</v>
      </c>
      <c r="C19" s="27" t="s">
        <v>85</v>
      </c>
      <c r="D19" s="27" t="s">
        <v>66</v>
      </c>
      <c r="E19" s="27" t="s">
        <v>67</v>
      </c>
      <c r="F19" s="27" t="s">
        <v>90</v>
      </c>
      <c r="G19" s="105">
        <v>43659000</v>
      </c>
      <c r="H19" s="18" t="s">
        <v>87</v>
      </c>
      <c r="I19" s="106" t="s">
        <v>441</v>
      </c>
      <c r="J19" s="18">
        <v>9</v>
      </c>
      <c r="K19" s="18" t="s">
        <v>47</v>
      </c>
      <c r="L19" s="22"/>
      <c r="M19" s="36" t="s">
        <v>446</v>
      </c>
      <c r="N19" s="18" t="s">
        <v>377</v>
      </c>
      <c r="O19" s="27" t="s">
        <v>443</v>
      </c>
      <c r="P19" s="29" t="s">
        <v>55</v>
      </c>
      <c r="Q19" s="29" t="s">
        <v>55</v>
      </c>
      <c r="R19" s="18">
        <v>9</v>
      </c>
      <c r="S19" s="29" t="s">
        <v>45</v>
      </c>
      <c r="T19" s="44" t="s">
        <v>91</v>
      </c>
      <c r="U19" s="97">
        <v>43659000</v>
      </c>
      <c r="V19" s="97">
        <v>43659000</v>
      </c>
      <c r="W19" s="29" t="s">
        <v>43</v>
      </c>
      <c r="X19" s="29" t="s">
        <v>46</v>
      </c>
      <c r="Y19" s="13" t="s">
        <v>444</v>
      </c>
      <c r="Z19" s="18" t="s">
        <v>49</v>
      </c>
      <c r="AA19" s="93" t="s">
        <v>71</v>
      </c>
      <c r="AB19" s="6" t="s">
        <v>445</v>
      </c>
      <c r="AC19" s="6" t="s">
        <v>50</v>
      </c>
      <c r="AD19" s="32" t="s">
        <v>43</v>
      </c>
      <c r="AE19" s="32" t="s">
        <v>43</v>
      </c>
      <c r="AF19" s="33" t="s">
        <v>72</v>
      </c>
      <c r="AG19" s="33" t="s">
        <v>73</v>
      </c>
      <c r="AH19" s="33" t="s">
        <v>92</v>
      </c>
      <c r="AI19" s="33" t="s">
        <v>72</v>
      </c>
      <c r="AJ19" s="33" t="s">
        <v>93</v>
      </c>
      <c r="AK19" s="33" t="s">
        <v>76</v>
      </c>
    </row>
    <row r="20" spans="1:37" ht="51" hidden="1">
      <c r="A20" s="186">
        <v>44101</v>
      </c>
      <c r="B20" s="187" t="s">
        <v>64</v>
      </c>
      <c r="C20" s="188" t="s">
        <v>94</v>
      </c>
      <c r="D20" s="188" t="s">
        <v>66</v>
      </c>
      <c r="E20" s="188" t="s">
        <v>67</v>
      </c>
      <c r="F20" s="188" t="s">
        <v>90</v>
      </c>
      <c r="G20" s="189">
        <v>218796146</v>
      </c>
      <c r="H20" s="190" t="s">
        <v>87</v>
      </c>
      <c r="I20" s="191" t="s">
        <v>441</v>
      </c>
      <c r="J20" s="190">
        <v>10</v>
      </c>
      <c r="K20" s="190" t="s">
        <v>47</v>
      </c>
      <c r="L20" s="187"/>
      <c r="M20" s="192" t="s">
        <v>502</v>
      </c>
      <c r="N20" s="190" t="s">
        <v>378</v>
      </c>
      <c r="O20" s="188" t="s">
        <v>95</v>
      </c>
      <c r="P20" s="193" t="s">
        <v>55</v>
      </c>
      <c r="Q20" s="193" t="s">
        <v>55</v>
      </c>
      <c r="R20" s="190">
        <v>11</v>
      </c>
      <c r="S20" s="193" t="s">
        <v>45</v>
      </c>
      <c r="T20" s="194" t="s">
        <v>174</v>
      </c>
      <c r="U20" s="195">
        <v>218796146</v>
      </c>
      <c r="V20" s="195">
        <v>218796146</v>
      </c>
      <c r="W20" s="193" t="s">
        <v>43</v>
      </c>
      <c r="X20" s="193" t="s">
        <v>46</v>
      </c>
      <c r="Y20" s="13" t="s">
        <v>380</v>
      </c>
      <c r="Z20" s="190" t="s">
        <v>49</v>
      </c>
      <c r="AA20" s="93" t="s">
        <v>326</v>
      </c>
      <c r="AB20" s="6" t="s">
        <v>101</v>
      </c>
      <c r="AC20" s="6" t="s">
        <v>50</v>
      </c>
      <c r="AD20" s="196" t="s">
        <v>43</v>
      </c>
      <c r="AE20" s="196" t="s">
        <v>43</v>
      </c>
      <c r="AF20" s="197" t="s">
        <v>72</v>
      </c>
      <c r="AG20" s="197" t="s">
        <v>73</v>
      </c>
      <c r="AH20" s="197" t="s">
        <v>92</v>
      </c>
      <c r="AI20" s="197" t="s">
        <v>72</v>
      </c>
      <c r="AJ20" s="197" t="s">
        <v>93</v>
      </c>
      <c r="AK20" s="197" t="s">
        <v>76</v>
      </c>
    </row>
    <row r="21" spans="1:37" ht="51" hidden="1">
      <c r="A21" s="26">
        <v>44101</v>
      </c>
      <c r="B21" s="22" t="s">
        <v>64</v>
      </c>
      <c r="C21" s="27" t="s">
        <v>82</v>
      </c>
      <c r="D21" s="27" t="s">
        <v>66</v>
      </c>
      <c r="E21" s="27" t="s">
        <v>67</v>
      </c>
      <c r="F21" s="27" t="s">
        <v>90</v>
      </c>
      <c r="G21" s="105">
        <v>36000000</v>
      </c>
      <c r="H21" s="18" t="s">
        <v>83</v>
      </c>
      <c r="I21" s="106" t="s">
        <v>503</v>
      </c>
      <c r="J21" s="18">
        <v>11</v>
      </c>
      <c r="K21" s="18" t="s">
        <v>47</v>
      </c>
      <c r="L21" s="22"/>
      <c r="M21" s="36" t="s">
        <v>504</v>
      </c>
      <c r="N21" s="18" t="s">
        <v>378</v>
      </c>
      <c r="O21" s="27" t="s">
        <v>505</v>
      </c>
      <c r="P21" s="29" t="s">
        <v>55</v>
      </c>
      <c r="Q21" s="29" t="s">
        <v>55</v>
      </c>
      <c r="R21" s="18">
        <v>5</v>
      </c>
      <c r="S21" s="29" t="s">
        <v>45</v>
      </c>
      <c r="T21" s="44" t="s">
        <v>91</v>
      </c>
      <c r="U21" s="97">
        <v>36000000</v>
      </c>
      <c r="V21" s="97">
        <v>36000000</v>
      </c>
      <c r="W21" s="29" t="s">
        <v>43</v>
      </c>
      <c r="X21" s="29" t="s">
        <v>46</v>
      </c>
      <c r="Y21" s="13" t="s">
        <v>444</v>
      </c>
      <c r="Z21" s="18" t="s">
        <v>49</v>
      </c>
      <c r="AA21" s="31" t="s">
        <v>326</v>
      </c>
      <c r="AB21" s="6" t="s">
        <v>445</v>
      </c>
      <c r="AC21" s="6" t="s">
        <v>50</v>
      </c>
      <c r="AD21" s="32" t="s">
        <v>43</v>
      </c>
      <c r="AE21" s="32" t="s">
        <v>43</v>
      </c>
      <c r="AF21" s="33" t="s">
        <v>72</v>
      </c>
      <c r="AG21" s="33" t="s">
        <v>73</v>
      </c>
      <c r="AH21" s="33" t="s">
        <v>92</v>
      </c>
      <c r="AI21" s="33" t="s">
        <v>72</v>
      </c>
      <c r="AJ21" s="33" t="s">
        <v>93</v>
      </c>
      <c r="AK21" s="33" t="s">
        <v>76</v>
      </c>
    </row>
    <row r="22" spans="1:37" ht="89.25" hidden="1">
      <c r="A22" s="18">
        <v>42102</v>
      </c>
      <c r="B22" s="21" t="s">
        <v>399</v>
      </c>
      <c r="C22" s="37" t="s">
        <v>96</v>
      </c>
      <c r="D22" s="107" t="s">
        <v>400</v>
      </c>
      <c r="E22" s="21" t="s">
        <v>67</v>
      </c>
      <c r="F22" s="108" t="s">
        <v>97</v>
      </c>
      <c r="G22" s="109">
        <v>400000000</v>
      </c>
      <c r="H22" s="3">
        <v>10.02</v>
      </c>
      <c r="I22" s="101" t="s">
        <v>388</v>
      </c>
      <c r="J22" s="3">
        <v>1</v>
      </c>
      <c r="K22" s="3" t="s">
        <v>47</v>
      </c>
      <c r="L22" s="22"/>
      <c r="M22" s="28" t="s">
        <v>404</v>
      </c>
      <c r="N22" s="5" t="s">
        <v>405</v>
      </c>
      <c r="O22" s="127" t="s">
        <v>98</v>
      </c>
      <c r="P22" s="10" t="s">
        <v>55</v>
      </c>
      <c r="Q22" s="10" t="s">
        <v>55</v>
      </c>
      <c r="R22" s="3">
        <v>10</v>
      </c>
      <c r="S22" s="10" t="s">
        <v>45</v>
      </c>
      <c r="T22" s="44" t="s">
        <v>174</v>
      </c>
      <c r="U22" s="38">
        <v>400000000</v>
      </c>
      <c r="V22" s="38">
        <v>400000000</v>
      </c>
      <c r="W22" s="29" t="s">
        <v>43</v>
      </c>
      <c r="X22" s="29" t="s">
        <v>46</v>
      </c>
      <c r="Y22" s="13" t="s">
        <v>406</v>
      </c>
      <c r="Z22" s="40" t="s">
        <v>49</v>
      </c>
      <c r="AA22" s="41" t="s">
        <v>400</v>
      </c>
      <c r="AB22" s="6" t="s">
        <v>101</v>
      </c>
      <c r="AC22" s="6" t="s">
        <v>50</v>
      </c>
      <c r="AD22" s="43" t="s">
        <v>43</v>
      </c>
      <c r="AE22" s="43" t="s">
        <v>43</v>
      </c>
      <c r="AF22" s="33" t="s">
        <v>72</v>
      </c>
      <c r="AG22" s="33" t="s">
        <v>73</v>
      </c>
      <c r="AH22" s="33" t="s">
        <v>74</v>
      </c>
      <c r="AI22" s="33" t="s">
        <v>72</v>
      </c>
      <c r="AJ22" s="33" t="s">
        <v>75</v>
      </c>
      <c r="AK22" s="33" t="s">
        <v>76</v>
      </c>
    </row>
    <row r="23" spans="1:37" ht="51" hidden="1">
      <c r="A23" s="18">
        <v>42102</v>
      </c>
      <c r="B23" s="21" t="s">
        <v>399</v>
      </c>
      <c r="C23" s="37" t="s">
        <v>96</v>
      </c>
      <c r="D23" s="107" t="s">
        <v>400</v>
      </c>
      <c r="E23" s="21" t="s">
        <v>67</v>
      </c>
      <c r="F23" s="108" t="s">
        <v>97</v>
      </c>
      <c r="G23" s="110">
        <v>140000000</v>
      </c>
      <c r="H23" s="3">
        <v>10.02</v>
      </c>
      <c r="I23" s="101" t="s">
        <v>388</v>
      </c>
      <c r="J23" s="18">
        <v>2</v>
      </c>
      <c r="K23" s="3" t="s">
        <v>47</v>
      </c>
      <c r="L23" s="22"/>
      <c r="M23" s="28" t="s">
        <v>407</v>
      </c>
      <c r="N23" s="20" t="s">
        <v>102</v>
      </c>
      <c r="O23" s="128" t="s">
        <v>103</v>
      </c>
      <c r="P23" s="29" t="s">
        <v>55</v>
      </c>
      <c r="Q23" s="29" t="s">
        <v>55</v>
      </c>
      <c r="R23" s="3">
        <v>11</v>
      </c>
      <c r="S23" s="10" t="s">
        <v>45</v>
      </c>
      <c r="T23" s="44" t="s">
        <v>48</v>
      </c>
      <c r="U23" s="38">
        <v>140000000</v>
      </c>
      <c r="V23" s="38">
        <v>140000000</v>
      </c>
      <c r="W23" s="29" t="s">
        <v>43</v>
      </c>
      <c r="X23" s="29" t="s">
        <v>46</v>
      </c>
      <c r="Y23" s="13" t="s">
        <v>406</v>
      </c>
      <c r="Z23" s="40" t="s">
        <v>49</v>
      </c>
      <c r="AA23" s="41" t="s">
        <v>400</v>
      </c>
      <c r="AB23" s="6" t="s">
        <v>101</v>
      </c>
      <c r="AC23" s="6" t="s">
        <v>50</v>
      </c>
      <c r="AD23" s="43" t="s">
        <v>43</v>
      </c>
      <c r="AE23" s="43" t="s">
        <v>43</v>
      </c>
      <c r="AF23" s="33" t="s">
        <v>72</v>
      </c>
      <c r="AG23" s="33" t="s">
        <v>73</v>
      </c>
      <c r="AH23" s="33" t="s">
        <v>74</v>
      </c>
      <c r="AI23" s="33" t="s">
        <v>72</v>
      </c>
      <c r="AJ23" s="33" t="s">
        <v>75</v>
      </c>
      <c r="AK23" s="33" t="s">
        <v>76</v>
      </c>
    </row>
    <row r="24" spans="1:37" ht="76.5" hidden="1" customHeight="1">
      <c r="A24" s="18">
        <v>42102</v>
      </c>
      <c r="B24" s="21" t="s">
        <v>399</v>
      </c>
      <c r="C24" s="37" t="s">
        <v>96</v>
      </c>
      <c r="D24" s="107" t="s">
        <v>400</v>
      </c>
      <c r="E24" s="21" t="s">
        <v>67</v>
      </c>
      <c r="F24" s="108" t="s">
        <v>97</v>
      </c>
      <c r="G24" s="110">
        <v>90000000</v>
      </c>
      <c r="H24" s="3">
        <v>10.02</v>
      </c>
      <c r="I24" s="101" t="s">
        <v>388</v>
      </c>
      <c r="J24" s="18">
        <v>3</v>
      </c>
      <c r="K24" s="3" t="s">
        <v>47</v>
      </c>
      <c r="L24" s="22"/>
      <c r="M24" s="28" t="s">
        <v>408</v>
      </c>
      <c r="N24" s="22" t="s">
        <v>104</v>
      </c>
      <c r="O24" s="128" t="s">
        <v>105</v>
      </c>
      <c r="P24" s="29" t="s">
        <v>55</v>
      </c>
      <c r="Q24" s="29" t="s">
        <v>55</v>
      </c>
      <c r="R24" s="3">
        <v>11</v>
      </c>
      <c r="S24" s="10" t="s">
        <v>45</v>
      </c>
      <c r="T24" s="44" t="s">
        <v>48</v>
      </c>
      <c r="U24" s="38">
        <v>90000000</v>
      </c>
      <c r="V24" s="38">
        <v>90000000</v>
      </c>
      <c r="W24" s="29" t="s">
        <v>43</v>
      </c>
      <c r="X24" s="29" t="s">
        <v>46</v>
      </c>
      <c r="Y24" s="13" t="s">
        <v>406</v>
      </c>
      <c r="Z24" s="40" t="s">
        <v>49</v>
      </c>
      <c r="AA24" s="41" t="s">
        <v>400</v>
      </c>
      <c r="AB24" s="6" t="s">
        <v>101</v>
      </c>
      <c r="AC24" s="6" t="s">
        <v>50</v>
      </c>
      <c r="AD24" s="43" t="s">
        <v>43</v>
      </c>
      <c r="AE24" s="43" t="s">
        <v>43</v>
      </c>
      <c r="AF24" s="33" t="s">
        <v>72</v>
      </c>
      <c r="AG24" s="33" t="s">
        <v>73</v>
      </c>
      <c r="AH24" s="33" t="s">
        <v>74</v>
      </c>
      <c r="AI24" s="33" t="s">
        <v>72</v>
      </c>
      <c r="AJ24" s="33" t="s">
        <v>75</v>
      </c>
      <c r="AK24" s="33" t="s">
        <v>76</v>
      </c>
    </row>
    <row r="25" spans="1:37" ht="89.25" hidden="1">
      <c r="A25" s="18">
        <v>42102</v>
      </c>
      <c r="B25" s="21" t="s">
        <v>399</v>
      </c>
      <c r="C25" s="37" t="s">
        <v>96</v>
      </c>
      <c r="D25" s="107" t="s">
        <v>400</v>
      </c>
      <c r="E25" s="21" t="s">
        <v>67</v>
      </c>
      <c r="F25" s="22" t="s">
        <v>106</v>
      </c>
      <c r="G25" s="110">
        <v>60000000</v>
      </c>
      <c r="H25" s="3">
        <v>10.02</v>
      </c>
      <c r="I25" s="101" t="s">
        <v>388</v>
      </c>
      <c r="J25" s="3">
        <v>4</v>
      </c>
      <c r="K25" s="18" t="s">
        <v>47</v>
      </c>
      <c r="L25" s="22"/>
      <c r="M25" s="28" t="s">
        <v>409</v>
      </c>
      <c r="N25" s="20" t="s">
        <v>107</v>
      </c>
      <c r="O25" s="128" t="s">
        <v>108</v>
      </c>
      <c r="P25" s="29" t="s">
        <v>55</v>
      </c>
      <c r="Q25" s="29" t="s">
        <v>55</v>
      </c>
      <c r="R25" s="3">
        <v>11</v>
      </c>
      <c r="S25" s="10" t="s">
        <v>45</v>
      </c>
      <c r="T25" s="44" t="s">
        <v>48</v>
      </c>
      <c r="U25" s="38">
        <v>60000000</v>
      </c>
      <c r="V25" s="38">
        <v>60000000</v>
      </c>
      <c r="W25" s="29" t="s">
        <v>43</v>
      </c>
      <c r="X25" s="29" t="s">
        <v>46</v>
      </c>
      <c r="Y25" s="13" t="s">
        <v>406</v>
      </c>
      <c r="Z25" s="40" t="s">
        <v>49</v>
      </c>
      <c r="AA25" s="41" t="s">
        <v>400</v>
      </c>
      <c r="AB25" s="6" t="s">
        <v>101</v>
      </c>
      <c r="AC25" s="6" t="s">
        <v>50</v>
      </c>
      <c r="AD25" s="43" t="s">
        <v>43</v>
      </c>
      <c r="AE25" s="43" t="s">
        <v>43</v>
      </c>
      <c r="AF25" s="33" t="s">
        <v>72</v>
      </c>
      <c r="AG25" s="33" t="s">
        <v>73</v>
      </c>
      <c r="AH25" s="33" t="s">
        <v>74</v>
      </c>
      <c r="AI25" s="33" t="s">
        <v>72</v>
      </c>
      <c r="AJ25" s="33" t="s">
        <v>75</v>
      </c>
      <c r="AK25" s="33" t="s">
        <v>76</v>
      </c>
    </row>
    <row r="26" spans="1:37" ht="51" hidden="1">
      <c r="A26" s="18">
        <v>42102</v>
      </c>
      <c r="B26" s="21" t="s">
        <v>399</v>
      </c>
      <c r="C26" s="45" t="s">
        <v>109</v>
      </c>
      <c r="D26" s="107" t="s">
        <v>400</v>
      </c>
      <c r="E26" s="21" t="s">
        <v>67</v>
      </c>
      <c r="F26" s="46" t="s">
        <v>110</v>
      </c>
      <c r="G26" s="111">
        <v>130000000</v>
      </c>
      <c r="H26" s="18">
        <v>20.010000000000002</v>
      </c>
      <c r="I26" s="21" t="s">
        <v>382</v>
      </c>
      <c r="J26" s="18">
        <v>5</v>
      </c>
      <c r="K26" s="47" t="s">
        <v>47</v>
      </c>
      <c r="L26" s="22"/>
      <c r="M26" s="28" t="s">
        <v>410</v>
      </c>
      <c r="N26" s="7">
        <v>80101500</v>
      </c>
      <c r="O26" s="129" t="s">
        <v>111</v>
      </c>
      <c r="P26" s="48" t="s">
        <v>52</v>
      </c>
      <c r="Q26" s="48" t="s">
        <v>52</v>
      </c>
      <c r="R26" s="3">
        <v>5</v>
      </c>
      <c r="S26" s="10" t="s">
        <v>45</v>
      </c>
      <c r="T26" s="44" t="s">
        <v>48</v>
      </c>
      <c r="U26" s="38">
        <v>130000000</v>
      </c>
      <c r="V26" s="38">
        <v>130000000</v>
      </c>
      <c r="W26" s="29" t="s">
        <v>43</v>
      </c>
      <c r="X26" s="29" t="s">
        <v>46</v>
      </c>
      <c r="Y26" s="13" t="s">
        <v>406</v>
      </c>
      <c r="Z26" s="40" t="s">
        <v>49</v>
      </c>
      <c r="AA26" s="41" t="s">
        <v>400</v>
      </c>
      <c r="AB26" s="6" t="s">
        <v>101</v>
      </c>
      <c r="AC26" s="6" t="s">
        <v>50</v>
      </c>
      <c r="AD26" s="43" t="s">
        <v>43</v>
      </c>
      <c r="AE26" s="43" t="s">
        <v>43</v>
      </c>
      <c r="AF26" s="33" t="s">
        <v>72</v>
      </c>
      <c r="AG26" s="33" t="s">
        <v>73</v>
      </c>
      <c r="AH26" s="33" t="s">
        <v>74</v>
      </c>
      <c r="AI26" s="33" t="s">
        <v>72</v>
      </c>
      <c r="AJ26" s="33" t="s">
        <v>75</v>
      </c>
      <c r="AK26" s="33" t="s">
        <v>76</v>
      </c>
    </row>
    <row r="27" spans="1:37" ht="51" hidden="1">
      <c r="A27" s="18">
        <v>42102</v>
      </c>
      <c r="B27" s="21" t="s">
        <v>399</v>
      </c>
      <c r="C27" s="46" t="s">
        <v>112</v>
      </c>
      <c r="D27" s="102" t="s">
        <v>400</v>
      </c>
      <c r="E27" s="102" t="s">
        <v>67</v>
      </c>
      <c r="F27" s="108" t="s">
        <v>110</v>
      </c>
      <c r="G27" s="112">
        <v>27000000</v>
      </c>
      <c r="H27" s="18">
        <v>10.02</v>
      </c>
      <c r="I27" s="21" t="s">
        <v>388</v>
      </c>
      <c r="J27" s="18">
        <v>6</v>
      </c>
      <c r="K27" s="18" t="s">
        <v>43</v>
      </c>
      <c r="L27" s="22"/>
      <c r="M27" s="28" t="s">
        <v>411</v>
      </c>
      <c r="N27" s="18" t="s">
        <v>113</v>
      </c>
      <c r="O27" s="128" t="s">
        <v>114</v>
      </c>
      <c r="P27" s="29" t="s">
        <v>115</v>
      </c>
      <c r="Q27" s="29" t="s">
        <v>115</v>
      </c>
      <c r="R27" s="3">
        <v>8</v>
      </c>
      <c r="S27" s="10" t="s">
        <v>45</v>
      </c>
      <c r="T27" s="29" t="s">
        <v>46</v>
      </c>
      <c r="U27" s="38">
        <v>27000000</v>
      </c>
      <c r="V27" s="38">
        <v>27000000</v>
      </c>
      <c r="W27" s="29" t="s">
        <v>43</v>
      </c>
      <c r="X27" s="29" t="s">
        <v>46</v>
      </c>
      <c r="Y27" s="13"/>
      <c r="Z27" s="42" t="s">
        <v>116</v>
      </c>
      <c r="AA27" s="41" t="s">
        <v>400</v>
      </c>
      <c r="AB27" s="6" t="s">
        <v>101</v>
      </c>
      <c r="AC27" s="6" t="s">
        <v>403</v>
      </c>
      <c r="AD27" s="43" t="s">
        <v>43</v>
      </c>
      <c r="AE27" s="43" t="s">
        <v>43</v>
      </c>
      <c r="AF27" s="33" t="s">
        <v>72</v>
      </c>
      <c r="AG27" s="33" t="s">
        <v>73</v>
      </c>
      <c r="AH27" s="33" t="s">
        <v>74</v>
      </c>
      <c r="AI27" s="33" t="s">
        <v>72</v>
      </c>
      <c r="AJ27" s="33" t="s">
        <v>75</v>
      </c>
      <c r="AK27" s="33" t="s">
        <v>76</v>
      </c>
    </row>
    <row r="28" spans="1:37" ht="51" hidden="1">
      <c r="A28" s="18">
        <v>42102</v>
      </c>
      <c r="B28" s="21" t="s">
        <v>399</v>
      </c>
      <c r="C28" s="49" t="s">
        <v>96</v>
      </c>
      <c r="D28" s="102" t="s">
        <v>400</v>
      </c>
      <c r="E28" s="108" t="s">
        <v>67</v>
      </c>
      <c r="F28" s="108" t="s">
        <v>97</v>
      </c>
      <c r="G28" s="112">
        <v>93158848</v>
      </c>
      <c r="H28" s="18">
        <v>20.010000000000002</v>
      </c>
      <c r="I28" s="21" t="s">
        <v>382</v>
      </c>
      <c r="J28" s="3">
        <v>7</v>
      </c>
      <c r="K28" s="18" t="s">
        <v>47</v>
      </c>
      <c r="L28" s="22"/>
      <c r="M28" s="28" t="s">
        <v>412</v>
      </c>
      <c r="N28" s="22" t="s">
        <v>437</v>
      </c>
      <c r="O28" s="128" t="s">
        <v>413</v>
      </c>
      <c r="P28" s="29" t="s">
        <v>52</v>
      </c>
      <c r="Q28" s="29" t="s">
        <v>52</v>
      </c>
      <c r="R28" s="3">
        <v>5</v>
      </c>
      <c r="S28" s="10" t="s">
        <v>45</v>
      </c>
      <c r="T28" s="44" t="s">
        <v>48</v>
      </c>
      <c r="U28" s="38">
        <v>93158848</v>
      </c>
      <c r="V28" s="38">
        <v>93158848</v>
      </c>
      <c r="W28" s="29" t="s">
        <v>43</v>
      </c>
      <c r="X28" s="29" t="s">
        <v>46</v>
      </c>
      <c r="Y28" s="13" t="s">
        <v>406</v>
      </c>
      <c r="Z28" s="40" t="s">
        <v>49</v>
      </c>
      <c r="AA28" s="41" t="s">
        <v>400</v>
      </c>
      <c r="AB28" s="6" t="s">
        <v>101</v>
      </c>
      <c r="AC28" s="6" t="s">
        <v>50</v>
      </c>
      <c r="AD28" s="43" t="s">
        <v>43</v>
      </c>
      <c r="AE28" s="43" t="s">
        <v>43</v>
      </c>
      <c r="AF28" s="33" t="s">
        <v>72</v>
      </c>
      <c r="AG28" s="33" t="s">
        <v>73</v>
      </c>
      <c r="AH28" s="33" t="s">
        <v>74</v>
      </c>
      <c r="AI28" s="33" t="s">
        <v>72</v>
      </c>
      <c r="AJ28" s="33" t="s">
        <v>75</v>
      </c>
      <c r="AK28" s="33" t="s">
        <v>76</v>
      </c>
    </row>
    <row r="29" spans="1:37" ht="51" hidden="1">
      <c r="A29" s="18">
        <v>42102</v>
      </c>
      <c r="B29" s="21" t="s">
        <v>399</v>
      </c>
      <c r="C29" s="49" t="s">
        <v>96</v>
      </c>
      <c r="D29" s="102" t="s">
        <v>400</v>
      </c>
      <c r="E29" s="20" t="s">
        <v>117</v>
      </c>
      <c r="F29" s="108" t="s">
        <v>118</v>
      </c>
      <c r="G29" s="112">
        <v>2000000</v>
      </c>
      <c r="H29" s="18">
        <v>10.02</v>
      </c>
      <c r="I29" s="21" t="s">
        <v>388</v>
      </c>
      <c r="J29" s="18">
        <v>8</v>
      </c>
      <c r="K29" s="18" t="s">
        <v>43</v>
      </c>
      <c r="L29" s="22"/>
      <c r="M29" s="28" t="s">
        <v>414</v>
      </c>
      <c r="N29" s="22" t="s">
        <v>113</v>
      </c>
      <c r="O29" s="128" t="s">
        <v>119</v>
      </c>
      <c r="P29" s="29" t="s">
        <v>120</v>
      </c>
      <c r="Q29" s="29" t="s">
        <v>120</v>
      </c>
      <c r="R29" s="18">
        <v>2</v>
      </c>
      <c r="S29" s="10" t="s">
        <v>45</v>
      </c>
      <c r="T29" s="29" t="s">
        <v>46</v>
      </c>
      <c r="U29" s="38">
        <v>2000000</v>
      </c>
      <c r="V29" s="38">
        <v>2000000</v>
      </c>
      <c r="W29" s="29" t="s">
        <v>43</v>
      </c>
      <c r="X29" s="29" t="s">
        <v>46</v>
      </c>
      <c r="Y29" s="13" t="s">
        <v>400</v>
      </c>
      <c r="Z29" s="42" t="s">
        <v>116</v>
      </c>
      <c r="AA29" s="41" t="s">
        <v>400</v>
      </c>
      <c r="AB29" s="6" t="s">
        <v>101</v>
      </c>
      <c r="AC29" s="6" t="s">
        <v>403</v>
      </c>
      <c r="AD29" s="43" t="s">
        <v>43</v>
      </c>
      <c r="AE29" s="43" t="s">
        <v>43</v>
      </c>
      <c r="AF29" s="33" t="s">
        <v>72</v>
      </c>
      <c r="AG29" s="33" t="s">
        <v>73</v>
      </c>
      <c r="AH29" s="33" t="s">
        <v>74</v>
      </c>
      <c r="AI29" s="33" t="s">
        <v>72</v>
      </c>
      <c r="AJ29" s="33" t="s">
        <v>75</v>
      </c>
      <c r="AK29" s="33" t="s">
        <v>76</v>
      </c>
    </row>
    <row r="30" spans="1:37" ht="51" hidden="1">
      <c r="A30" s="18">
        <v>42102</v>
      </c>
      <c r="B30" s="21" t="s">
        <v>399</v>
      </c>
      <c r="C30" s="49" t="s">
        <v>96</v>
      </c>
      <c r="D30" s="102" t="s">
        <v>400</v>
      </c>
      <c r="E30" s="20" t="s">
        <v>117</v>
      </c>
      <c r="F30" s="108" t="s">
        <v>118</v>
      </c>
      <c r="G30" s="112">
        <v>3100000</v>
      </c>
      <c r="H30" s="18">
        <v>10.02</v>
      </c>
      <c r="I30" s="21" t="s">
        <v>388</v>
      </c>
      <c r="J30" s="18">
        <v>9</v>
      </c>
      <c r="K30" s="18" t="s">
        <v>43</v>
      </c>
      <c r="L30" s="400"/>
      <c r="M30" s="276" t="str">
        <f t="shared" ref="M30" si="1">"INV-"&amp;A30&amp;"-"&amp;J30</f>
        <v>INV-42102-9</v>
      </c>
      <c r="N30" s="277" t="s">
        <v>113</v>
      </c>
      <c r="O30" s="404" t="s">
        <v>525</v>
      </c>
      <c r="P30" s="29" t="s">
        <v>120</v>
      </c>
      <c r="Q30" s="29" t="s">
        <v>120</v>
      </c>
      <c r="R30" s="18">
        <v>2</v>
      </c>
      <c r="S30" s="10" t="s">
        <v>45</v>
      </c>
      <c r="T30" s="29" t="s">
        <v>46</v>
      </c>
      <c r="U30" s="38">
        <v>3100000</v>
      </c>
      <c r="V30" s="38">
        <v>3100000</v>
      </c>
      <c r="W30" s="29" t="s">
        <v>43</v>
      </c>
      <c r="X30" s="29" t="s">
        <v>46</v>
      </c>
      <c r="Y30" s="13" t="s">
        <v>400</v>
      </c>
      <c r="Z30" s="42" t="s">
        <v>116</v>
      </c>
      <c r="AA30" s="41" t="s">
        <v>400</v>
      </c>
      <c r="AB30" s="6" t="s">
        <v>101</v>
      </c>
      <c r="AC30" s="6" t="s">
        <v>403</v>
      </c>
      <c r="AD30" s="43" t="s">
        <v>43</v>
      </c>
      <c r="AE30" s="43" t="s">
        <v>43</v>
      </c>
      <c r="AF30" s="33" t="s">
        <v>72</v>
      </c>
      <c r="AG30" s="33" t="s">
        <v>73</v>
      </c>
      <c r="AH30" s="33" t="s">
        <v>74</v>
      </c>
      <c r="AI30" s="33" t="s">
        <v>72</v>
      </c>
      <c r="AJ30" s="33" t="s">
        <v>75</v>
      </c>
      <c r="AK30" s="33" t="s">
        <v>76</v>
      </c>
    </row>
    <row r="31" spans="1:37" ht="51" hidden="1">
      <c r="A31" s="18">
        <v>42102</v>
      </c>
      <c r="B31" s="21" t="s">
        <v>399</v>
      </c>
      <c r="C31" s="37" t="s">
        <v>121</v>
      </c>
      <c r="D31" s="108" t="s">
        <v>400</v>
      </c>
      <c r="E31" s="108" t="s">
        <v>67</v>
      </c>
      <c r="F31" s="108" t="s">
        <v>110</v>
      </c>
      <c r="G31" s="112">
        <v>10000000</v>
      </c>
      <c r="H31" s="18">
        <v>10.02</v>
      </c>
      <c r="I31" s="21" t="s">
        <v>388</v>
      </c>
      <c r="J31" s="3">
        <v>10</v>
      </c>
      <c r="K31" s="18" t="s">
        <v>43</v>
      </c>
      <c r="L31" s="22"/>
      <c r="M31" s="28" t="s">
        <v>415</v>
      </c>
      <c r="N31" s="22" t="s">
        <v>113</v>
      </c>
      <c r="O31" s="128" t="s">
        <v>122</v>
      </c>
      <c r="P31" s="29" t="s">
        <v>120</v>
      </c>
      <c r="Q31" s="29" t="s">
        <v>120</v>
      </c>
      <c r="R31" s="18">
        <v>9</v>
      </c>
      <c r="S31" s="10" t="s">
        <v>45</v>
      </c>
      <c r="T31" s="29" t="s">
        <v>46</v>
      </c>
      <c r="U31" s="38">
        <v>10000000</v>
      </c>
      <c r="V31" s="38">
        <v>10000000</v>
      </c>
      <c r="W31" s="29" t="s">
        <v>43</v>
      </c>
      <c r="X31" s="29" t="s">
        <v>46</v>
      </c>
      <c r="Y31" s="13" t="s">
        <v>400</v>
      </c>
      <c r="Z31" s="42" t="s">
        <v>116</v>
      </c>
      <c r="AA31" s="41" t="s">
        <v>400</v>
      </c>
      <c r="AB31" s="6" t="s">
        <v>101</v>
      </c>
      <c r="AC31" s="6" t="s">
        <v>403</v>
      </c>
      <c r="AD31" s="43" t="s">
        <v>43</v>
      </c>
      <c r="AE31" s="43" t="s">
        <v>43</v>
      </c>
      <c r="AF31" s="33" t="s">
        <v>72</v>
      </c>
      <c r="AG31" s="33" t="s">
        <v>73</v>
      </c>
      <c r="AH31" s="33" t="s">
        <v>74</v>
      </c>
      <c r="AI31" s="33" t="s">
        <v>72</v>
      </c>
      <c r="AJ31" s="33" t="s">
        <v>75</v>
      </c>
      <c r="AK31" s="33" t="s">
        <v>76</v>
      </c>
    </row>
    <row r="32" spans="1:37" ht="89.25" hidden="1">
      <c r="A32" s="18">
        <v>42102</v>
      </c>
      <c r="B32" s="21" t="s">
        <v>399</v>
      </c>
      <c r="C32" s="37" t="s">
        <v>121</v>
      </c>
      <c r="D32" s="108" t="s">
        <v>400</v>
      </c>
      <c r="E32" s="108" t="s">
        <v>67</v>
      </c>
      <c r="F32" s="22" t="s">
        <v>106</v>
      </c>
      <c r="G32" s="112">
        <v>65000000</v>
      </c>
      <c r="H32" s="18">
        <v>10.02</v>
      </c>
      <c r="I32" s="21" t="s">
        <v>388</v>
      </c>
      <c r="J32" s="18">
        <v>11</v>
      </c>
      <c r="K32" s="18" t="s">
        <v>43</v>
      </c>
      <c r="L32" s="22"/>
      <c r="M32" s="28" t="s">
        <v>416</v>
      </c>
      <c r="N32" s="22" t="s">
        <v>113</v>
      </c>
      <c r="O32" s="128" t="s">
        <v>123</v>
      </c>
      <c r="P32" s="29" t="s">
        <v>120</v>
      </c>
      <c r="Q32" s="29" t="s">
        <v>120</v>
      </c>
      <c r="R32" s="18">
        <v>9</v>
      </c>
      <c r="S32" s="10" t="s">
        <v>45</v>
      </c>
      <c r="T32" s="29" t="s">
        <v>46</v>
      </c>
      <c r="U32" s="38">
        <v>65000000</v>
      </c>
      <c r="V32" s="38">
        <v>65000000</v>
      </c>
      <c r="W32" s="29" t="s">
        <v>43</v>
      </c>
      <c r="X32" s="29" t="s">
        <v>46</v>
      </c>
      <c r="Y32" s="13" t="s">
        <v>400</v>
      </c>
      <c r="Z32" s="42" t="s">
        <v>116</v>
      </c>
      <c r="AA32" s="41" t="s">
        <v>400</v>
      </c>
      <c r="AB32" s="6" t="s">
        <v>101</v>
      </c>
      <c r="AC32" s="6" t="s">
        <v>403</v>
      </c>
      <c r="AD32" s="43" t="s">
        <v>43</v>
      </c>
      <c r="AE32" s="43" t="s">
        <v>43</v>
      </c>
      <c r="AF32" s="33" t="s">
        <v>72</v>
      </c>
      <c r="AG32" s="33" t="s">
        <v>73</v>
      </c>
      <c r="AH32" s="33" t="s">
        <v>74</v>
      </c>
      <c r="AI32" s="33" t="s">
        <v>72</v>
      </c>
      <c r="AJ32" s="33" t="s">
        <v>75</v>
      </c>
      <c r="AK32" s="33" t="s">
        <v>76</v>
      </c>
    </row>
    <row r="33" spans="1:37" ht="63.75" hidden="1">
      <c r="A33" s="18">
        <v>42102</v>
      </c>
      <c r="B33" s="21" t="s">
        <v>399</v>
      </c>
      <c r="C33" s="37" t="s">
        <v>124</v>
      </c>
      <c r="D33" s="108" t="s">
        <v>400</v>
      </c>
      <c r="E33" s="108" t="s">
        <v>67</v>
      </c>
      <c r="F33" s="108" t="s">
        <v>110</v>
      </c>
      <c r="G33" s="112">
        <v>313170000</v>
      </c>
      <c r="H33" s="18">
        <v>10.02</v>
      </c>
      <c r="I33" s="22" t="s">
        <v>388</v>
      </c>
      <c r="J33" s="18">
        <v>12</v>
      </c>
      <c r="K33" s="18" t="s">
        <v>43</v>
      </c>
      <c r="L33" s="22"/>
      <c r="M33" s="28" t="s">
        <v>417</v>
      </c>
      <c r="N33" s="22" t="s">
        <v>113</v>
      </c>
      <c r="O33" s="128" t="s">
        <v>125</v>
      </c>
      <c r="P33" s="29" t="s">
        <v>120</v>
      </c>
      <c r="Q33" s="29" t="s">
        <v>120</v>
      </c>
      <c r="R33" s="18">
        <v>9</v>
      </c>
      <c r="S33" s="10" t="s">
        <v>45</v>
      </c>
      <c r="T33" s="29" t="s">
        <v>46</v>
      </c>
      <c r="U33" s="38">
        <v>313170000</v>
      </c>
      <c r="V33" s="38">
        <v>313170000</v>
      </c>
      <c r="W33" s="29" t="s">
        <v>43</v>
      </c>
      <c r="X33" s="29" t="s">
        <v>46</v>
      </c>
      <c r="Y33" s="13" t="s">
        <v>400</v>
      </c>
      <c r="Z33" s="42" t="s">
        <v>116</v>
      </c>
      <c r="AA33" s="41" t="s">
        <v>400</v>
      </c>
      <c r="AB33" s="6" t="s">
        <v>101</v>
      </c>
      <c r="AC33" s="6" t="s">
        <v>403</v>
      </c>
      <c r="AD33" s="43" t="s">
        <v>43</v>
      </c>
      <c r="AE33" s="43" t="s">
        <v>43</v>
      </c>
      <c r="AF33" s="33" t="s">
        <v>72</v>
      </c>
      <c r="AG33" s="33" t="s">
        <v>73</v>
      </c>
      <c r="AH33" s="33" t="s">
        <v>74</v>
      </c>
      <c r="AI33" s="33" t="s">
        <v>72</v>
      </c>
      <c r="AJ33" s="33" t="s">
        <v>75</v>
      </c>
      <c r="AK33" s="33" t="s">
        <v>76</v>
      </c>
    </row>
    <row r="34" spans="1:37" ht="51" hidden="1">
      <c r="A34" s="18">
        <v>42102</v>
      </c>
      <c r="B34" s="21" t="s">
        <v>399</v>
      </c>
      <c r="C34" s="37" t="s">
        <v>96</v>
      </c>
      <c r="D34" s="108" t="s">
        <v>400</v>
      </c>
      <c r="E34" s="20" t="s">
        <v>117</v>
      </c>
      <c r="F34" s="102" t="s">
        <v>118</v>
      </c>
      <c r="G34" s="111">
        <v>52900000</v>
      </c>
      <c r="H34" s="18">
        <v>10.02</v>
      </c>
      <c r="I34" s="22" t="s">
        <v>388</v>
      </c>
      <c r="J34" s="3">
        <v>13</v>
      </c>
      <c r="K34" s="18" t="s">
        <v>43</v>
      </c>
      <c r="L34" s="22"/>
      <c r="M34" s="28" t="s">
        <v>418</v>
      </c>
      <c r="N34" s="22" t="s">
        <v>113</v>
      </c>
      <c r="O34" s="128" t="s">
        <v>126</v>
      </c>
      <c r="P34" s="29" t="s">
        <v>120</v>
      </c>
      <c r="Q34" s="29" t="s">
        <v>120</v>
      </c>
      <c r="R34" s="18">
        <v>9</v>
      </c>
      <c r="S34" s="29" t="s">
        <v>45</v>
      </c>
      <c r="T34" s="29" t="s">
        <v>46</v>
      </c>
      <c r="U34" s="38">
        <v>52900000</v>
      </c>
      <c r="V34" s="38">
        <v>52900000</v>
      </c>
      <c r="W34" s="29" t="s">
        <v>43</v>
      </c>
      <c r="X34" s="29" t="s">
        <v>46</v>
      </c>
      <c r="Y34" s="13" t="s">
        <v>400</v>
      </c>
      <c r="Z34" s="42" t="s">
        <v>116</v>
      </c>
      <c r="AA34" s="41" t="s">
        <v>400</v>
      </c>
      <c r="AB34" s="6" t="s">
        <v>101</v>
      </c>
      <c r="AC34" s="6" t="s">
        <v>403</v>
      </c>
      <c r="AD34" s="43" t="s">
        <v>43</v>
      </c>
      <c r="AE34" s="43" t="s">
        <v>43</v>
      </c>
      <c r="AF34" s="33" t="s">
        <v>72</v>
      </c>
      <c r="AG34" s="33" t="s">
        <v>73</v>
      </c>
      <c r="AH34" s="33" t="s">
        <v>74</v>
      </c>
      <c r="AI34" s="33" t="s">
        <v>72</v>
      </c>
      <c r="AJ34" s="33" t="s">
        <v>75</v>
      </c>
      <c r="AK34" s="33" t="s">
        <v>76</v>
      </c>
    </row>
    <row r="35" spans="1:37" ht="89.25" hidden="1">
      <c r="A35" s="18">
        <v>42102</v>
      </c>
      <c r="B35" s="21" t="s">
        <v>399</v>
      </c>
      <c r="C35" s="37" t="s">
        <v>127</v>
      </c>
      <c r="D35" s="108" t="s">
        <v>400</v>
      </c>
      <c r="E35" s="20" t="s">
        <v>67</v>
      </c>
      <c r="F35" s="20" t="s">
        <v>128</v>
      </c>
      <c r="G35" s="278">
        <f>10000000+1650000</f>
        <v>11650000</v>
      </c>
      <c r="H35" s="18" t="s">
        <v>129</v>
      </c>
      <c r="I35" s="22" t="s">
        <v>419</v>
      </c>
      <c r="J35" s="18">
        <v>14</v>
      </c>
      <c r="K35" s="113" t="s">
        <v>43</v>
      </c>
      <c r="L35" s="400"/>
      <c r="M35" s="28" t="s">
        <v>420</v>
      </c>
      <c r="N35" s="20" t="s">
        <v>113</v>
      </c>
      <c r="O35" s="405" t="s">
        <v>130</v>
      </c>
      <c r="P35" s="29" t="s">
        <v>44</v>
      </c>
      <c r="Q35" s="29" t="s">
        <v>44</v>
      </c>
      <c r="R35" s="73">
        <v>1</v>
      </c>
      <c r="S35" s="29" t="s">
        <v>45</v>
      </c>
      <c r="T35" s="29" t="s">
        <v>46</v>
      </c>
      <c r="U35" s="38">
        <v>10000000</v>
      </c>
      <c r="V35" s="38">
        <v>10000000</v>
      </c>
      <c r="W35" s="29" t="s">
        <v>43</v>
      </c>
      <c r="X35" s="29" t="s">
        <v>46</v>
      </c>
      <c r="Y35" s="13" t="s">
        <v>400</v>
      </c>
      <c r="Z35" s="42" t="s">
        <v>116</v>
      </c>
      <c r="AA35" s="41" t="s">
        <v>400</v>
      </c>
      <c r="AB35" s="6" t="s">
        <v>101</v>
      </c>
      <c r="AC35" s="6" t="s">
        <v>403</v>
      </c>
      <c r="AD35" s="43" t="s">
        <v>43</v>
      </c>
      <c r="AE35" s="43" t="s">
        <v>43</v>
      </c>
      <c r="AF35" s="33" t="s">
        <v>72</v>
      </c>
      <c r="AG35" s="33" t="s">
        <v>73</v>
      </c>
      <c r="AH35" s="33" t="s">
        <v>74</v>
      </c>
      <c r="AI35" s="33" t="s">
        <v>72</v>
      </c>
      <c r="AJ35" s="33" t="s">
        <v>75</v>
      </c>
      <c r="AK35" s="33" t="s">
        <v>76</v>
      </c>
    </row>
    <row r="36" spans="1:37" ht="51" hidden="1">
      <c r="A36" s="18">
        <v>42102</v>
      </c>
      <c r="B36" s="21" t="s">
        <v>399</v>
      </c>
      <c r="C36" s="37" t="s">
        <v>127</v>
      </c>
      <c r="D36" s="108" t="s">
        <v>400</v>
      </c>
      <c r="E36" s="20" t="s">
        <v>131</v>
      </c>
      <c r="F36" s="20" t="s">
        <v>132</v>
      </c>
      <c r="G36" s="278">
        <f>7753912+1650000</f>
        <v>9403912</v>
      </c>
      <c r="H36" s="18" t="s">
        <v>129</v>
      </c>
      <c r="I36" s="22" t="s">
        <v>419</v>
      </c>
      <c r="J36" s="18">
        <v>15</v>
      </c>
      <c r="K36" s="113" t="s">
        <v>43</v>
      </c>
      <c r="L36" s="400"/>
      <c r="M36" s="28" t="s">
        <v>421</v>
      </c>
      <c r="N36" s="20" t="s">
        <v>113</v>
      </c>
      <c r="O36" s="405" t="s">
        <v>133</v>
      </c>
      <c r="P36" s="29" t="s">
        <v>44</v>
      </c>
      <c r="Q36" s="29" t="s">
        <v>44</v>
      </c>
      <c r="R36" s="73">
        <v>1</v>
      </c>
      <c r="S36" s="29" t="s">
        <v>45</v>
      </c>
      <c r="T36" s="29" t="s">
        <v>46</v>
      </c>
      <c r="U36" s="38">
        <v>7753912</v>
      </c>
      <c r="V36" s="38">
        <v>7753912</v>
      </c>
      <c r="W36" s="29" t="s">
        <v>43</v>
      </c>
      <c r="X36" s="29" t="s">
        <v>46</v>
      </c>
      <c r="Y36" s="13" t="s">
        <v>400</v>
      </c>
      <c r="Z36" s="42" t="s">
        <v>116</v>
      </c>
      <c r="AA36" s="41" t="s">
        <v>400</v>
      </c>
      <c r="AB36" s="6" t="s">
        <v>101</v>
      </c>
      <c r="AC36" s="6" t="s">
        <v>403</v>
      </c>
      <c r="AD36" s="43" t="s">
        <v>43</v>
      </c>
      <c r="AE36" s="43" t="s">
        <v>43</v>
      </c>
      <c r="AF36" s="33" t="s">
        <v>72</v>
      </c>
      <c r="AG36" s="33" t="s">
        <v>73</v>
      </c>
      <c r="AH36" s="33" t="s">
        <v>74</v>
      </c>
      <c r="AI36" s="33" t="s">
        <v>72</v>
      </c>
      <c r="AJ36" s="33" t="s">
        <v>75</v>
      </c>
      <c r="AK36" s="33" t="s">
        <v>76</v>
      </c>
    </row>
    <row r="37" spans="1:37" ht="51" hidden="1">
      <c r="A37" s="18">
        <v>42102</v>
      </c>
      <c r="B37" s="21" t="s">
        <v>399</v>
      </c>
      <c r="C37" s="37" t="s">
        <v>127</v>
      </c>
      <c r="D37" s="6" t="s">
        <v>400</v>
      </c>
      <c r="E37" s="27" t="s">
        <v>67</v>
      </c>
      <c r="F37" s="20" t="s">
        <v>134</v>
      </c>
      <c r="G37" s="278" t="s">
        <v>526</v>
      </c>
      <c r="H37" s="18" t="s">
        <v>129</v>
      </c>
      <c r="I37" s="7" t="s">
        <v>419</v>
      </c>
      <c r="J37" s="3">
        <v>16</v>
      </c>
      <c r="K37" s="114" t="s">
        <v>47</v>
      </c>
      <c r="L37" s="401"/>
      <c r="M37" s="28" t="s">
        <v>422</v>
      </c>
      <c r="N37" s="5" t="s">
        <v>135</v>
      </c>
      <c r="O37" s="406" t="s">
        <v>136</v>
      </c>
      <c r="P37" s="29" t="s">
        <v>55</v>
      </c>
      <c r="Q37" s="29" t="s">
        <v>55</v>
      </c>
      <c r="R37" s="75">
        <v>1</v>
      </c>
      <c r="S37" s="29" t="s">
        <v>45</v>
      </c>
      <c r="T37" s="44" t="s">
        <v>48</v>
      </c>
      <c r="U37" s="38">
        <v>3300000</v>
      </c>
      <c r="V37" s="38">
        <v>3300000</v>
      </c>
      <c r="W37" s="29" t="s">
        <v>43</v>
      </c>
      <c r="X37" s="29" t="s">
        <v>46</v>
      </c>
      <c r="Y37" s="200" t="s">
        <v>380</v>
      </c>
      <c r="Z37" s="42" t="s">
        <v>116</v>
      </c>
      <c r="AA37" s="41" t="s">
        <v>400</v>
      </c>
      <c r="AB37" s="6" t="s">
        <v>101</v>
      </c>
      <c r="AC37" s="6" t="s">
        <v>403</v>
      </c>
      <c r="AD37" s="43" t="s">
        <v>43</v>
      </c>
      <c r="AE37" s="43" t="s">
        <v>43</v>
      </c>
      <c r="AF37" s="33" t="s">
        <v>72</v>
      </c>
      <c r="AG37" s="33" t="s">
        <v>73</v>
      </c>
      <c r="AH37" s="33" t="s">
        <v>74</v>
      </c>
      <c r="AI37" s="33" t="s">
        <v>72</v>
      </c>
      <c r="AJ37" s="33" t="s">
        <v>75</v>
      </c>
      <c r="AK37" s="33" t="s">
        <v>76</v>
      </c>
    </row>
    <row r="38" spans="1:37" ht="89.25" hidden="1">
      <c r="A38" s="18">
        <v>42102</v>
      </c>
      <c r="B38" s="21" t="s">
        <v>399</v>
      </c>
      <c r="C38" s="37" t="s">
        <v>127</v>
      </c>
      <c r="D38" s="6" t="s">
        <v>400</v>
      </c>
      <c r="E38" s="27" t="s">
        <v>67</v>
      </c>
      <c r="F38" s="20" t="s">
        <v>128</v>
      </c>
      <c r="G38" s="50">
        <v>1500000</v>
      </c>
      <c r="H38" s="18" t="s">
        <v>129</v>
      </c>
      <c r="I38" s="7" t="s">
        <v>419</v>
      </c>
      <c r="J38" s="18">
        <v>17</v>
      </c>
      <c r="K38" s="114" t="s">
        <v>47</v>
      </c>
      <c r="L38" s="400"/>
      <c r="M38" s="28" t="s">
        <v>423</v>
      </c>
      <c r="N38" s="5" t="s">
        <v>370</v>
      </c>
      <c r="O38" s="404" t="s">
        <v>527</v>
      </c>
      <c r="P38" s="29" t="s">
        <v>55</v>
      </c>
      <c r="Q38" s="29" t="s">
        <v>55</v>
      </c>
      <c r="R38" s="75">
        <v>1</v>
      </c>
      <c r="S38" s="29" t="s">
        <v>45</v>
      </c>
      <c r="T38" s="44" t="s">
        <v>48</v>
      </c>
      <c r="U38" s="38">
        <v>1500000</v>
      </c>
      <c r="V38" s="38">
        <v>1500000</v>
      </c>
      <c r="W38" s="29" t="s">
        <v>43</v>
      </c>
      <c r="X38" s="29" t="s">
        <v>46</v>
      </c>
      <c r="Y38" s="200" t="s">
        <v>380</v>
      </c>
      <c r="Z38" s="42" t="s">
        <v>116</v>
      </c>
      <c r="AA38" s="41" t="s">
        <v>400</v>
      </c>
      <c r="AB38" s="6" t="s">
        <v>101</v>
      </c>
      <c r="AC38" s="6" t="s">
        <v>403</v>
      </c>
      <c r="AD38" s="43" t="s">
        <v>43</v>
      </c>
      <c r="AE38" s="43" t="s">
        <v>43</v>
      </c>
      <c r="AF38" s="33" t="s">
        <v>72</v>
      </c>
      <c r="AG38" s="33" t="s">
        <v>73</v>
      </c>
      <c r="AH38" s="33" t="s">
        <v>74</v>
      </c>
      <c r="AI38" s="33" t="s">
        <v>72</v>
      </c>
      <c r="AJ38" s="33" t="s">
        <v>75</v>
      </c>
      <c r="AK38" s="33" t="s">
        <v>76</v>
      </c>
    </row>
    <row r="39" spans="1:37" ht="89.25" hidden="1">
      <c r="A39" s="18">
        <v>42102</v>
      </c>
      <c r="B39" s="21" t="s">
        <v>399</v>
      </c>
      <c r="C39" s="37" t="s">
        <v>127</v>
      </c>
      <c r="D39" s="6" t="s">
        <v>400</v>
      </c>
      <c r="E39" s="20" t="s">
        <v>67</v>
      </c>
      <c r="F39" s="20" t="s">
        <v>128</v>
      </c>
      <c r="G39" s="50">
        <v>20000000</v>
      </c>
      <c r="H39" s="18" t="s">
        <v>129</v>
      </c>
      <c r="I39" s="7" t="s">
        <v>419</v>
      </c>
      <c r="J39" s="18">
        <v>18</v>
      </c>
      <c r="K39" s="113" t="s">
        <v>43</v>
      </c>
      <c r="L39" s="22"/>
      <c r="M39" s="28" t="s">
        <v>424</v>
      </c>
      <c r="N39" s="5" t="s">
        <v>113</v>
      </c>
      <c r="O39" s="125" t="s">
        <v>137</v>
      </c>
      <c r="P39" s="29" t="s">
        <v>120</v>
      </c>
      <c r="Q39" s="29" t="s">
        <v>120</v>
      </c>
      <c r="R39" s="73">
        <v>1</v>
      </c>
      <c r="S39" s="29" t="s">
        <v>45</v>
      </c>
      <c r="T39" s="29" t="s">
        <v>46</v>
      </c>
      <c r="U39" s="38">
        <v>20000000</v>
      </c>
      <c r="V39" s="38">
        <v>20000000</v>
      </c>
      <c r="W39" s="29" t="s">
        <v>43</v>
      </c>
      <c r="X39" s="29" t="s">
        <v>46</v>
      </c>
      <c r="Y39" s="13" t="s">
        <v>400</v>
      </c>
      <c r="Z39" s="42" t="s">
        <v>116</v>
      </c>
      <c r="AA39" s="41" t="s">
        <v>400</v>
      </c>
      <c r="AB39" s="6" t="s">
        <v>101</v>
      </c>
      <c r="AC39" s="6" t="s">
        <v>403</v>
      </c>
      <c r="AD39" s="43" t="s">
        <v>43</v>
      </c>
      <c r="AE39" s="43" t="s">
        <v>43</v>
      </c>
      <c r="AF39" s="33" t="s">
        <v>72</v>
      </c>
      <c r="AG39" s="33" t="s">
        <v>73</v>
      </c>
      <c r="AH39" s="33" t="s">
        <v>74</v>
      </c>
      <c r="AI39" s="33" t="s">
        <v>72</v>
      </c>
      <c r="AJ39" s="33" t="s">
        <v>75</v>
      </c>
      <c r="AK39" s="33" t="s">
        <v>76</v>
      </c>
    </row>
    <row r="40" spans="1:37" ht="51" hidden="1">
      <c r="A40" s="18">
        <v>42102</v>
      </c>
      <c r="B40" s="21" t="s">
        <v>399</v>
      </c>
      <c r="C40" s="37" t="s">
        <v>127</v>
      </c>
      <c r="D40" s="21" t="s">
        <v>400</v>
      </c>
      <c r="E40" s="20" t="s">
        <v>131</v>
      </c>
      <c r="F40" s="20" t="s">
        <v>132</v>
      </c>
      <c r="G40" s="50">
        <v>15954072</v>
      </c>
      <c r="H40" s="18" t="s">
        <v>129</v>
      </c>
      <c r="I40" s="7" t="s">
        <v>419</v>
      </c>
      <c r="J40" s="3">
        <v>19</v>
      </c>
      <c r="K40" s="113" t="s">
        <v>43</v>
      </c>
      <c r="L40" s="22"/>
      <c r="M40" s="28" t="s">
        <v>425</v>
      </c>
      <c r="N40" s="20" t="s">
        <v>113</v>
      </c>
      <c r="O40" s="125" t="s">
        <v>138</v>
      </c>
      <c r="P40" s="29" t="s">
        <v>120</v>
      </c>
      <c r="Q40" s="29" t="s">
        <v>120</v>
      </c>
      <c r="R40" s="73">
        <v>1</v>
      </c>
      <c r="S40" s="29" t="s">
        <v>45</v>
      </c>
      <c r="T40" s="29" t="s">
        <v>46</v>
      </c>
      <c r="U40" s="38">
        <v>15954072</v>
      </c>
      <c r="V40" s="38">
        <v>15954072</v>
      </c>
      <c r="W40" s="29" t="s">
        <v>43</v>
      </c>
      <c r="X40" s="29" t="s">
        <v>46</v>
      </c>
      <c r="Y40" s="13" t="s">
        <v>400</v>
      </c>
      <c r="Z40" s="42" t="s">
        <v>116</v>
      </c>
      <c r="AA40" s="41" t="s">
        <v>400</v>
      </c>
      <c r="AB40" s="6" t="s">
        <v>101</v>
      </c>
      <c r="AC40" s="6" t="s">
        <v>403</v>
      </c>
      <c r="AD40" s="43" t="s">
        <v>43</v>
      </c>
      <c r="AE40" s="43" t="s">
        <v>43</v>
      </c>
      <c r="AF40" s="33" t="s">
        <v>72</v>
      </c>
      <c r="AG40" s="33" t="s">
        <v>73</v>
      </c>
      <c r="AH40" s="33" t="s">
        <v>74</v>
      </c>
      <c r="AI40" s="33" t="s">
        <v>72</v>
      </c>
      <c r="AJ40" s="33" t="s">
        <v>75</v>
      </c>
      <c r="AK40" s="33" t="s">
        <v>76</v>
      </c>
    </row>
    <row r="41" spans="1:37" ht="51" hidden="1">
      <c r="A41" s="18">
        <v>42102</v>
      </c>
      <c r="B41" s="21" t="s">
        <v>399</v>
      </c>
      <c r="C41" s="37" t="s">
        <v>127</v>
      </c>
      <c r="D41" s="21" t="s">
        <v>400</v>
      </c>
      <c r="E41" s="20" t="s">
        <v>139</v>
      </c>
      <c r="F41" s="20" t="s">
        <v>110</v>
      </c>
      <c r="G41" s="50">
        <v>11200000</v>
      </c>
      <c r="H41" s="18" t="s">
        <v>129</v>
      </c>
      <c r="I41" s="7" t="s">
        <v>419</v>
      </c>
      <c r="J41" s="18">
        <v>20</v>
      </c>
      <c r="K41" s="113" t="s">
        <v>47</v>
      </c>
      <c r="L41" s="22"/>
      <c r="M41" s="28" t="s">
        <v>426</v>
      </c>
      <c r="N41" s="92">
        <v>80111600</v>
      </c>
      <c r="O41" s="125" t="s">
        <v>140</v>
      </c>
      <c r="P41" s="29" t="s">
        <v>55</v>
      </c>
      <c r="Q41" s="29" t="s">
        <v>55</v>
      </c>
      <c r="R41" s="73">
        <v>4</v>
      </c>
      <c r="S41" s="29" t="s">
        <v>45</v>
      </c>
      <c r="T41" s="44" t="s">
        <v>48</v>
      </c>
      <c r="U41" s="38">
        <v>11200000</v>
      </c>
      <c r="V41" s="38">
        <v>11200000</v>
      </c>
      <c r="W41" s="29" t="s">
        <v>43</v>
      </c>
      <c r="X41" s="29" t="s">
        <v>46</v>
      </c>
      <c r="Y41" s="13" t="s">
        <v>400</v>
      </c>
      <c r="Z41" s="42" t="s">
        <v>116</v>
      </c>
      <c r="AA41" s="41" t="s">
        <v>400</v>
      </c>
      <c r="AB41" s="6" t="s">
        <v>101</v>
      </c>
      <c r="AC41" s="6" t="s">
        <v>403</v>
      </c>
      <c r="AD41" s="43" t="s">
        <v>43</v>
      </c>
      <c r="AE41" s="43" t="s">
        <v>43</v>
      </c>
      <c r="AF41" s="33" t="s">
        <v>72</v>
      </c>
      <c r="AG41" s="33" t="s">
        <v>73</v>
      </c>
      <c r="AH41" s="33" t="s">
        <v>74</v>
      </c>
      <c r="AI41" s="33" t="s">
        <v>72</v>
      </c>
      <c r="AJ41" s="33" t="s">
        <v>75</v>
      </c>
      <c r="AK41" s="33" t="s">
        <v>76</v>
      </c>
    </row>
    <row r="42" spans="1:37" ht="89.25" hidden="1">
      <c r="A42" s="18">
        <v>42102</v>
      </c>
      <c r="B42" s="21" t="s">
        <v>399</v>
      </c>
      <c r="C42" s="37" t="s">
        <v>127</v>
      </c>
      <c r="D42" s="21" t="s">
        <v>400</v>
      </c>
      <c r="E42" s="20" t="s">
        <v>67</v>
      </c>
      <c r="F42" s="20" t="s">
        <v>128</v>
      </c>
      <c r="G42" s="115">
        <v>12000000</v>
      </c>
      <c r="H42" s="18" t="s">
        <v>129</v>
      </c>
      <c r="I42" s="7" t="s">
        <v>419</v>
      </c>
      <c r="J42" s="18">
        <v>21</v>
      </c>
      <c r="K42" s="113" t="s">
        <v>43</v>
      </c>
      <c r="L42" s="22"/>
      <c r="M42" s="28" t="s">
        <v>427</v>
      </c>
      <c r="N42" s="92" t="s">
        <v>113</v>
      </c>
      <c r="O42" s="126" t="s">
        <v>141</v>
      </c>
      <c r="P42" s="29" t="s">
        <v>44</v>
      </c>
      <c r="Q42" s="29" t="s">
        <v>44</v>
      </c>
      <c r="R42" s="73">
        <v>1</v>
      </c>
      <c r="S42" s="29" t="s">
        <v>45</v>
      </c>
      <c r="T42" s="29" t="s">
        <v>46</v>
      </c>
      <c r="U42" s="38">
        <v>12000000</v>
      </c>
      <c r="V42" s="38">
        <v>12000000</v>
      </c>
      <c r="W42" s="29" t="s">
        <v>43</v>
      </c>
      <c r="X42" s="29" t="s">
        <v>46</v>
      </c>
      <c r="Y42" s="13" t="s">
        <v>400</v>
      </c>
      <c r="Z42" s="42" t="s">
        <v>116</v>
      </c>
      <c r="AA42" s="41" t="s">
        <v>400</v>
      </c>
      <c r="AB42" s="6" t="s">
        <v>101</v>
      </c>
      <c r="AC42" s="6" t="s">
        <v>403</v>
      </c>
      <c r="AD42" s="43" t="s">
        <v>43</v>
      </c>
      <c r="AE42" s="43" t="s">
        <v>43</v>
      </c>
      <c r="AF42" s="33" t="s">
        <v>72</v>
      </c>
      <c r="AG42" s="33" t="s">
        <v>73</v>
      </c>
      <c r="AH42" s="33" t="s">
        <v>74</v>
      </c>
      <c r="AI42" s="33" t="s">
        <v>72</v>
      </c>
      <c r="AJ42" s="33" t="s">
        <v>75</v>
      </c>
      <c r="AK42" s="33" t="s">
        <v>76</v>
      </c>
    </row>
    <row r="43" spans="1:37" ht="89.25" hidden="1">
      <c r="A43" s="18">
        <v>42102</v>
      </c>
      <c r="B43" s="21" t="s">
        <v>399</v>
      </c>
      <c r="C43" s="37" t="s">
        <v>127</v>
      </c>
      <c r="D43" s="21" t="s">
        <v>400</v>
      </c>
      <c r="E43" s="20" t="s">
        <v>67</v>
      </c>
      <c r="F43" s="20" t="s">
        <v>128</v>
      </c>
      <c r="G43" s="50">
        <v>25000000</v>
      </c>
      <c r="H43" s="18" t="s">
        <v>129</v>
      </c>
      <c r="I43" s="7" t="s">
        <v>419</v>
      </c>
      <c r="J43" s="3">
        <v>22</v>
      </c>
      <c r="K43" s="113" t="s">
        <v>43</v>
      </c>
      <c r="L43" s="22"/>
      <c r="M43" s="28" t="s">
        <v>428</v>
      </c>
      <c r="N43" s="5" t="s">
        <v>113</v>
      </c>
      <c r="O43" s="125" t="s">
        <v>142</v>
      </c>
      <c r="P43" s="29" t="s">
        <v>143</v>
      </c>
      <c r="Q43" s="29" t="s">
        <v>143</v>
      </c>
      <c r="R43" s="73">
        <v>1</v>
      </c>
      <c r="S43" s="29" t="s">
        <v>45</v>
      </c>
      <c r="T43" s="29" t="s">
        <v>46</v>
      </c>
      <c r="U43" s="38">
        <v>25000000</v>
      </c>
      <c r="V43" s="38">
        <v>25000000</v>
      </c>
      <c r="W43" s="29" t="s">
        <v>43</v>
      </c>
      <c r="X43" s="29" t="s">
        <v>46</v>
      </c>
      <c r="Y43" s="13" t="s">
        <v>400</v>
      </c>
      <c r="Z43" s="42" t="s">
        <v>116</v>
      </c>
      <c r="AA43" s="41" t="s">
        <v>400</v>
      </c>
      <c r="AB43" s="6" t="s">
        <v>101</v>
      </c>
      <c r="AC43" s="6" t="s">
        <v>403</v>
      </c>
      <c r="AD43" s="43" t="s">
        <v>43</v>
      </c>
      <c r="AE43" s="43" t="s">
        <v>43</v>
      </c>
      <c r="AF43" s="33" t="s">
        <v>72</v>
      </c>
      <c r="AG43" s="33" t="s">
        <v>73</v>
      </c>
      <c r="AH43" s="33" t="s">
        <v>74</v>
      </c>
      <c r="AI43" s="33" t="s">
        <v>72</v>
      </c>
      <c r="AJ43" s="33" t="s">
        <v>75</v>
      </c>
      <c r="AK43" s="33" t="s">
        <v>76</v>
      </c>
    </row>
    <row r="44" spans="1:37" ht="51" hidden="1">
      <c r="A44" s="18">
        <v>42102</v>
      </c>
      <c r="B44" s="21" t="s">
        <v>399</v>
      </c>
      <c r="C44" s="37" t="s">
        <v>127</v>
      </c>
      <c r="D44" s="21" t="s">
        <v>400</v>
      </c>
      <c r="E44" s="20" t="s">
        <v>131</v>
      </c>
      <c r="F44" s="20" t="s">
        <v>132</v>
      </c>
      <c r="G44" s="50">
        <v>19011336</v>
      </c>
      <c r="H44" s="18" t="s">
        <v>129</v>
      </c>
      <c r="I44" s="22" t="s">
        <v>419</v>
      </c>
      <c r="J44" s="18">
        <v>23</v>
      </c>
      <c r="K44" s="113" t="s">
        <v>43</v>
      </c>
      <c r="L44" s="22"/>
      <c r="M44" s="28" t="s">
        <v>429</v>
      </c>
      <c r="N44" s="20" t="s">
        <v>113</v>
      </c>
      <c r="O44" s="125" t="s">
        <v>144</v>
      </c>
      <c r="P44" s="29" t="s">
        <v>143</v>
      </c>
      <c r="Q44" s="29" t="s">
        <v>143</v>
      </c>
      <c r="R44" s="73">
        <v>1</v>
      </c>
      <c r="S44" s="29" t="s">
        <v>45</v>
      </c>
      <c r="T44" s="29" t="s">
        <v>46</v>
      </c>
      <c r="U44" s="38">
        <v>19011336</v>
      </c>
      <c r="V44" s="38">
        <v>19011336</v>
      </c>
      <c r="W44" s="29" t="s">
        <v>43</v>
      </c>
      <c r="X44" s="29" t="s">
        <v>46</v>
      </c>
      <c r="Y44" s="13" t="s">
        <v>400</v>
      </c>
      <c r="Z44" s="42" t="s">
        <v>116</v>
      </c>
      <c r="AA44" s="41" t="s">
        <v>400</v>
      </c>
      <c r="AB44" s="6" t="s">
        <v>101</v>
      </c>
      <c r="AC44" s="6" t="s">
        <v>403</v>
      </c>
      <c r="AD44" s="43" t="s">
        <v>43</v>
      </c>
      <c r="AE44" s="43" t="s">
        <v>43</v>
      </c>
      <c r="AF44" s="33" t="s">
        <v>72</v>
      </c>
      <c r="AG44" s="33" t="s">
        <v>73</v>
      </c>
      <c r="AH44" s="33" t="s">
        <v>74</v>
      </c>
      <c r="AI44" s="33" t="s">
        <v>72</v>
      </c>
      <c r="AJ44" s="33" t="s">
        <v>75</v>
      </c>
      <c r="AK44" s="33" t="s">
        <v>76</v>
      </c>
    </row>
    <row r="45" spans="1:37" ht="51" hidden="1">
      <c r="A45" s="18">
        <v>42102</v>
      </c>
      <c r="B45" s="21" t="s">
        <v>399</v>
      </c>
      <c r="C45" s="37" t="s">
        <v>96</v>
      </c>
      <c r="D45" s="21" t="s">
        <v>400</v>
      </c>
      <c r="E45" s="20" t="s">
        <v>67</v>
      </c>
      <c r="F45" s="20" t="s">
        <v>110</v>
      </c>
      <c r="G45" s="50">
        <v>30000000</v>
      </c>
      <c r="H45" s="18">
        <v>10.02</v>
      </c>
      <c r="I45" s="22" t="s">
        <v>388</v>
      </c>
      <c r="J45" s="18">
        <v>24</v>
      </c>
      <c r="K45" s="113" t="s">
        <v>43</v>
      </c>
      <c r="L45" s="20"/>
      <c r="M45" s="28" t="s">
        <v>401</v>
      </c>
      <c r="N45" s="20" t="s">
        <v>113</v>
      </c>
      <c r="O45" s="125" t="s">
        <v>402</v>
      </c>
      <c r="P45" s="29" t="s">
        <v>55</v>
      </c>
      <c r="Q45" s="29" t="s">
        <v>55</v>
      </c>
      <c r="R45" s="73">
        <v>1</v>
      </c>
      <c r="S45" s="29" t="s">
        <v>45</v>
      </c>
      <c r="T45" s="29" t="s">
        <v>46</v>
      </c>
      <c r="U45" s="38">
        <v>30000000</v>
      </c>
      <c r="V45" s="38">
        <v>30000000</v>
      </c>
      <c r="W45" s="29" t="s">
        <v>43</v>
      </c>
      <c r="X45" s="29" t="s">
        <v>46</v>
      </c>
      <c r="Y45" s="13" t="s">
        <v>400</v>
      </c>
      <c r="Z45" s="42" t="s">
        <v>116</v>
      </c>
      <c r="AA45" s="41" t="s">
        <v>400</v>
      </c>
      <c r="AB45" s="6" t="s">
        <v>101</v>
      </c>
      <c r="AC45" s="6" t="s">
        <v>403</v>
      </c>
      <c r="AD45" s="98" t="s">
        <v>43</v>
      </c>
      <c r="AE45" s="98" t="s">
        <v>43</v>
      </c>
      <c r="AF45" s="33" t="s">
        <v>72</v>
      </c>
      <c r="AG45" s="33" t="s">
        <v>73</v>
      </c>
      <c r="AH45" s="33" t="s">
        <v>74</v>
      </c>
      <c r="AI45" s="33" t="s">
        <v>72</v>
      </c>
      <c r="AJ45" s="33" t="s">
        <v>75</v>
      </c>
      <c r="AK45" s="33" t="s">
        <v>76</v>
      </c>
    </row>
    <row r="46" spans="1:37" ht="153" hidden="1">
      <c r="A46" s="279">
        <v>42102</v>
      </c>
      <c r="B46" s="280" t="s">
        <v>399</v>
      </c>
      <c r="C46" s="281" t="s">
        <v>96</v>
      </c>
      <c r="D46" s="280" t="s">
        <v>400</v>
      </c>
      <c r="E46" s="282" t="s">
        <v>67</v>
      </c>
      <c r="F46" s="282" t="s">
        <v>304</v>
      </c>
      <c r="G46" s="283">
        <v>30000000</v>
      </c>
      <c r="H46" s="279">
        <v>10.02</v>
      </c>
      <c r="I46" s="284" t="s">
        <v>388</v>
      </c>
      <c r="J46" s="279">
        <v>25</v>
      </c>
      <c r="K46" s="361" t="s">
        <v>47</v>
      </c>
      <c r="L46" s="402"/>
      <c r="M46" s="285" t="s">
        <v>528</v>
      </c>
      <c r="N46" s="282">
        <v>80111600</v>
      </c>
      <c r="O46" s="286" t="s">
        <v>529</v>
      </c>
      <c r="P46" s="287" t="s">
        <v>55</v>
      </c>
      <c r="Q46" s="287" t="s">
        <v>55</v>
      </c>
      <c r="R46" s="288">
        <v>6</v>
      </c>
      <c r="S46" s="287" t="s">
        <v>45</v>
      </c>
      <c r="T46" s="287" t="s">
        <v>48</v>
      </c>
      <c r="U46" s="289">
        <v>30000000</v>
      </c>
      <c r="V46" s="289">
        <v>30000000</v>
      </c>
      <c r="W46" s="287" t="s">
        <v>43</v>
      </c>
      <c r="X46" s="287" t="s">
        <v>46</v>
      </c>
      <c r="Y46" s="13" t="s">
        <v>406</v>
      </c>
      <c r="Z46" s="290" t="s">
        <v>49</v>
      </c>
      <c r="AA46" s="291" t="s">
        <v>400</v>
      </c>
      <c r="AB46" s="6" t="s">
        <v>101</v>
      </c>
      <c r="AC46" s="6" t="s">
        <v>50</v>
      </c>
      <c r="AD46" s="292" t="s">
        <v>43</v>
      </c>
      <c r="AE46" s="292" t="s">
        <v>43</v>
      </c>
      <c r="AF46" s="293" t="s">
        <v>72</v>
      </c>
      <c r="AG46" s="293" t="s">
        <v>73</v>
      </c>
      <c r="AH46" s="293" t="s">
        <v>74</v>
      </c>
      <c r="AI46" s="293" t="s">
        <v>72</v>
      </c>
      <c r="AJ46" s="293" t="s">
        <v>75</v>
      </c>
      <c r="AK46" s="293" t="s">
        <v>76</v>
      </c>
    </row>
    <row r="47" spans="1:37" ht="89.25" hidden="1">
      <c r="A47" s="279">
        <v>42102</v>
      </c>
      <c r="B47" s="280" t="s">
        <v>399</v>
      </c>
      <c r="C47" s="281" t="s">
        <v>96</v>
      </c>
      <c r="D47" s="280" t="s">
        <v>400</v>
      </c>
      <c r="E47" s="282" t="s">
        <v>67</v>
      </c>
      <c r="F47" s="282" t="s">
        <v>304</v>
      </c>
      <c r="G47" s="283">
        <v>24000000</v>
      </c>
      <c r="H47" s="279">
        <v>10.02</v>
      </c>
      <c r="I47" s="284" t="s">
        <v>388</v>
      </c>
      <c r="J47" s="279">
        <v>26</v>
      </c>
      <c r="K47" s="361" t="s">
        <v>47</v>
      </c>
      <c r="L47" s="402"/>
      <c r="M47" s="285" t="s">
        <v>530</v>
      </c>
      <c r="N47" s="282">
        <v>80111600</v>
      </c>
      <c r="O47" s="286" t="s">
        <v>531</v>
      </c>
      <c r="P47" s="287" t="s">
        <v>55</v>
      </c>
      <c r="Q47" s="287" t="s">
        <v>55</v>
      </c>
      <c r="R47" s="288">
        <v>6</v>
      </c>
      <c r="S47" s="287" t="s">
        <v>45</v>
      </c>
      <c r="T47" s="287" t="s">
        <v>48</v>
      </c>
      <c r="U47" s="289">
        <v>24000000</v>
      </c>
      <c r="V47" s="289">
        <v>24000000</v>
      </c>
      <c r="W47" s="287" t="s">
        <v>43</v>
      </c>
      <c r="X47" s="287" t="s">
        <v>46</v>
      </c>
      <c r="Y47" s="13" t="s">
        <v>406</v>
      </c>
      <c r="Z47" s="290" t="s">
        <v>49</v>
      </c>
      <c r="AA47" s="291" t="s">
        <v>400</v>
      </c>
      <c r="AB47" s="6" t="s">
        <v>101</v>
      </c>
      <c r="AC47" s="6" t="s">
        <v>50</v>
      </c>
      <c r="AD47" s="292" t="s">
        <v>43</v>
      </c>
      <c r="AE47" s="292" t="s">
        <v>43</v>
      </c>
      <c r="AF47" s="293" t="s">
        <v>72</v>
      </c>
      <c r="AG47" s="293" t="s">
        <v>73</v>
      </c>
      <c r="AH47" s="293" t="s">
        <v>74</v>
      </c>
      <c r="AI47" s="293" t="s">
        <v>72</v>
      </c>
      <c r="AJ47" s="293" t="s">
        <v>75</v>
      </c>
      <c r="AK47" s="293" t="s">
        <v>76</v>
      </c>
    </row>
    <row r="48" spans="1:37" ht="114.75" hidden="1">
      <c r="A48" s="18">
        <v>42102</v>
      </c>
      <c r="B48" s="21" t="s">
        <v>399</v>
      </c>
      <c r="C48" s="37" t="s">
        <v>96</v>
      </c>
      <c r="D48" s="21" t="s">
        <v>400</v>
      </c>
      <c r="E48" s="20" t="s">
        <v>67</v>
      </c>
      <c r="F48" s="20" t="s">
        <v>97</v>
      </c>
      <c r="G48" s="50">
        <v>24000000</v>
      </c>
      <c r="H48" s="18">
        <v>10.02</v>
      </c>
      <c r="I48" s="22" t="s">
        <v>388</v>
      </c>
      <c r="J48" s="18">
        <v>27</v>
      </c>
      <c r="K48" s="361" t="s">
        <v>47</v>
      </c>
      <c r="L48" s="403"/>
      <c r="M48" s="28" t="s">
        <v>532</v>
      </c>
      <c r="N48" s="20">
        <v>80111600</v>
      </c>
      <c r="O48" s="125" t="s">
        <v>533</v>
      </c>
      <c r="P48" s="29" t="s">
        <v>55</v>
      </c>
      <c r="Q48" s="29" t="s">
        <v>55</v>
      </c>
      <c r="R48" s="73">
        <v>6</v>
      </c>
      <c r="S48" s="29" t="s">
        <v>45</v>
      </c>
      <c r="T48" s="29" t="s">
        <v>48</v>
      </c>
      <c r="U48" s="38">
        <v>24000000</v>
      </c>
      <c r="V48" s="38">
        <v>24000000</v>
      </c>
      <c r="W48" s="29" t="s">
        <v>43</v>
      </c>
      <c r="X48" s="29" t="s">
        <v>46</v>
      </c>
      <c r="Y48" s="13" t="s">
        <v>406</v>
      </c>
      <c r="Z48" s="42" t="s">
        <v>49</v>
      </c>
      <c r="AA48" s="41" t="s">
        <v>400</v>
      </c>
      <c r="AB48" s="6" t="s">
        <v>101</v>
      </c>
      <c r="AC48" s="6" t="s">
        <v>50</v>
      </c>
      <c r="AD48" s="98" t="s">
        <v>43</v>
      </c>
      <c r="AE48" s="98" t="s">
        <v>43</v>
      </c>
      <c r="AF48" s="33" t="s">
        <v>72</v>
      </c>
      <c r="AG48" s="33" t="s">
        <v>73</v>
      </c>
      <c r="AH48" s="33" t="s">
        <v>74</v>
      </c>
      <c r="AI48" s="33" t="s">
        <v>72</v>
      </c>
      <c r="AJ48" s="33" t="s">
        <v>75</v>
      </c>
      <c r="AK48" s="33" t="s">
        <v>76</v>
      </c>
    </row>
    <row r="49" spans="1:37" ht="89.25" hidden="1">
      <c r="A49" s="51">
        <v>41201</v>
      </c>
      <c r="B49" s="21" t="str">
        <f>IFERROR(VLOOKUP(A49,[3]Listas!$A$91:$B$107,2,FALSE),"")</f>
        <v>FORMACIÓN ACADÉMICA Y DESARROLLO PROFESORA</v>
      </c>
      <c r="C49" s="52" t="s">
        <v>145</v>
      </c>
      <c r="D49" s="52" t="s">
        <v>146</v>
      </c>
      <c r="E49" s="52" t="s">
        <v>147</v>
      </c>
      <c r="F49" s="52" t="s">
        <v>148</v>
      </c>
      <c r="G49" s="116">
        <v>67189600</v>
      </c>
      <c r="H49" s="51">
        <v>20.010000000000002</v>
      </c>
      <c r="I49" s="117" t="str">
        <f>IFERROR(VLOOKUP(H49,[3]Listas!$B$124:$C$141,2,FALSE),"")</f>
        <v>Recursos Propios</v>
      </c>
      <c r="J49" s="18">
        <v>1</v>
      </c>
      <c r="K49" s="18" t="s">
        <v>43</v>
      </c>
      <c r="L49" s="22"/>
      <c r="M49" s="53" t="str">
        <f>"INV-"&amp;A49&amp;"-"&amp;J49</f>
        <v>INV-41201-1</v>
      </c>
      <c r="N49" s="22" t="s">
        <v>113</v>
      </c>
      <c r="O49" s="52" t="s">
        <v>149</v>
      </c>
      <c r="P49" s="54" t="s">
        <v>44</v>
      </c>
      <c r="Q49" s="54" t="s">
        <v>44</v>
      </c>
      <c r="R49" s="18">
        <v>10</v>
      </c>
      <c r="S49" s="54" t="s">
        <v>45</v>
      </c>
      <c r="T49" s="54"/>
      <c r="U49" s="38">
        <f>G49</f>
        <v>67189600</v>
      </c>
      <c r="V49" s="38">
        <f>G49</f>
        <v>67189600</v>
      </c>
      <c r="W49" s="54" t="s">
        <v>43</v>
      </c>
      <c r="X49" s="54" t="s">
        <v>46</v>
      </c>
      <c r="Y49" s="13" t="s">
        <v>380</v>
      </c>
      <c r="Z49" s="18" t="s">
        <v>151</v>
      </c>
      <c r="AA49" s="31" t="s">
        <v>152</v>
      </c>
      <c r="AB49" s="6" t="s">
        <v>101</v>
      </c>
      <c r="AC49" s="6" t="s">
        <v>50</v>
      </c>
      <c r="AD49" s="55" t="s">
        <v>43</v>
      </c>
      <c r="AE49" s="55" t="s">
        <v>47</v>
      </c>
      <c r="AF49" s="56" t="s">
        <v>72</v>
      </c>
      <c r="AG49" s="56" t="s">
        <v>73</v>
      </c>
      <c r="AH49" s="56" t="s">
        <v>74</v>
      </c>
      <c r="AI49" s="33" t="s">
        <v>72</v>
      </c>
      <c r="AJ49" s="33" t="s">
        <v>75</v>
      </c>
      <c r="AK49" s="33" t="s">
        <v>76</v>
      </c>
    </row>
    <row r="50" spans="1:37" ht="51" hidden="1">
      <c r="A50" s="18">
        <v>41102</v>
      </c>
      <c r="B50" s="21" t="str">
        <f>IFERROR(VLOOKUP(A50,[4]Listas!$A$91:$B$107,2,FALSE),"")</f>
        <v>FORMACIÓN DE LENGUA EXTRANJERA</v>
      </c>
      <c r="C50" s="52" t="s">
        <v>153</v>
      </c>
      <c r="D50" s="22" t="s">
        <v>150</v>
      </c>
      <c r="E50" s="27" t="s">
        <v>67</v>
      </c>
      <c r="F50" s="18" t="s">
        <v>154</v>
      </c>
      <c r="G50" s="118">
        <v>17250000</v>
      </c>
      <c r="H50" s="18" t="s">
        <v>155</v>
      </c>
      <c r="I50" s="21" t="str">
        <f>IFERROR(VLOOKUP(H50,[4]Listas!$B$124:$C$142,2,FALSE),"")</f>
        <v>Recursos del Balance - Propios</v>
      </c>
      <c r="J50" s="18">
        <v>1</v>
      </c>
      <c r="K50" s="18" t="s">
        <v>47</v>
      </c>
      <c r="L50" s="22"/>
      <c r="M50" s="28" t="str">
        <f>"INV-"&amp;A50&amp;"-"&amp;J50</f>
        <v>INV-41102-1</v>
      </c>
      <c r="N50" s="22">
        <v>60103704</v>
      </c>
      <c r="O50" s="130" t="s">
        <v>156</v>
      </c>
      <c r="P50" s="29" t="s">
        <v>55</v>
      </c>
      <c r="Q50" s="29" t="s">
        <v>55</v>
      </c>
      <c r="R50" s="18">
        <v>9</v>
      </c>
      <c r="S50" s="29" t="s">
        <v>45</v>
      </c>
      <c r="T50" s="44" t="s">
        <v>48</v>
      </c>
      <c r="U50" s="57">
        <f>G50</f>
        <v>17250000</v>
      </c>
      <c r="V50" s="57">
        <f>U50</f>
        <v>17250000</v>
      </c>
      <c r="W50" s="29" t="s">
        <v>43</v>
      </c>
      <c r="X50" s="29" t="s">
        <v>46</v>
      </c>
      <c r="Y50" s="13" t="s">
        <v>380</v>
      </c>
      <c r="Z50" s="18" t="s">
        <v>49</v>
      </c>
      <c r="AA50" s="31" t="s">
        <v>440</v>
      </c>
      <c r="AB50" s="6" t="s">
        <v>101</v>
      </c>
      <c r="AC50" s="6" t="s">
        <v>50</v>
      </c>
      <c r="AD50" s="58" t="s">
        <v>43</v>
      </c>
      <c r="AE50" s="58" t="s">
        <v>47</v>
      </c>
      <c r="AF50" s="59" t="s">
        <v>72</v>
      </c>
      <c r="AG50" s="33" t="s">
        <v>73</v>
      </c>
      <c r="AH50" s="33" t="s">
        <v>74</v>
      </c>
      <c r="AI50" s="33" t="s">
        <v>72</v>
      </c>
      <c r="AJ50" s="33" t="s">
        <v>75</v>
      </c>
      <c r="AK50" s="33" t="s">
        <v>76</v>
      </c>
    </row>
    <row r="51" spans="1:37" ht="51" hidden="1">
      <c r="A51" s="18">
        <v>41102</v>
      </c>
      <c r="B51" s="21" t="str">
        <f>IFERROR(VLOOKUP(A51,[4]Listas!$A$91:$B$107,2,FALSE),"")</f>
        <v>FORMACIÓN DE LENGUA EXTRANJERA</v>
      </c>
      <c r="C51" s="52" t="s">
        <v>158</v>
      </c>
      <c r="D51" s="22" t="s">
        <v>150</v>
      </c>
      <c r="E51" s="27" t="s">
        <v>67</v>
      </c>
      <c r="F51" s="18" t="s">
        <v>154</v>
      </c>
      <c r="G51" s="118">
        <v>6798448</v>
      </c>
      <c r="H51" s="18" t="s">
        <v>155</v>
      </c>
      <c r="I51" s="21" t="str">
        <f>IFERROR(VLOOKUP(H51,[4]Listas!$B$124:$C$142,2,FALSE),"")</f>
        <v>Recursos del Balance - Propios</v>
      </c>
      <c r="J51" s="453">
        <v>2</v>
      </c>
      <c r="K51" s="453" t="s">
        <v>47</v>
      </c>
      <c r="L51" s="22"/>
      <c r="M51" s="455" t="str">
        <f>"INV-"&amp;A51&amp;"-"&amp;J51</f>
        <v>INV-41102-2</v>
      </c>
      <c r="N51" s="497">
        <v>60103702</v>
      </c>
      <c r="O51" s="508" t="s">
        <v>159</v>
      </c>
      <c r="P51" s="462" t="s">
        <v>55</v>
      </c>
      <c r="Q51" s="462" t="s">
        <v>55</v>
      </c>
      <c r="R51" s="453">
        <v>9</v>
      </c>
      <c r="S51" s="462" t="s">
        <v>45</v>
      </c>
      <c r="T51" s="479" t="s">
        <v>48</v>
      </c>
      <c r="U51" s="499">
        <f>G51+G52</f>
        <v>16450000</v>
      </c>
      <c r="V51" s="499">
        <f>U51</f>
        <v>16450000</v>
      </c>
      <c r="W51" s="462" t="s">
        <v>43</v>
      </c>
      <c r="X51" s="462" t="s">
        <v>46</v>
      </c>
      <c r="Y51" s="13" t="s">
        <v>380</v>
      </c>
      <c r="Z51" s="453" t="s">
        <v>49</v>
      </c>
      <c r="AA51" s="521" t="s">
        <v>157</v>
      </c>
      <c r="AB51" s="6" t="s">
        <v>101</v>
      </c>
      <c r="AC51" s="6" t="s">
        <v>50</v>
      </c>
      <c r="AD51" s="518" t="s">
        <v>43</v>
      </c>
      <c r="AE51" s="518" t="s">
        <v>47</v>
      </c>
      <c r="AF51" s="519" t="s">
        <v>72</v>
      </c>
      <c r="AG51" s="501" t="s">
        <v>73</v>
      </c>
      <c r="AH51" s="501" t="s">
        <v>74</v>
      </c>
      <c r="AI51" s="501" t="s">
        <v>72</v>
      </c>
      <c r="AJ51" s="501" t="s">
        <v>75</v>
      </c>
      <c r="AK51" s="501" t="s">
        <v>76</v>
      </c>
    </row>
    <row r="52" spans="1:37" ht="51" hidden="1" customHeight="1">
      <c r="A52" s="18">
        <v>41102</v>
      </c>
      <c r="B52" s="21" t="str">
        <f>IFERROR(VLOOKUP(A52,[4]Listas!$A$91:$B$107,2,FALSE),"")</f>
        <v>FORMACIÓN DE LENGUA EXTRANJERA</v>
      </c>
      <c r="C52" s="52" t="s">
        <v>158</v>
      </c>
      <c r="D52" s="22" t="s">
        <v>150</v>
      </c>
      <c r="E52" s="27" t="s">
        <v>67</v>
      </c>
      <c r="F52" s="18" t="s">
        <v>154</v>
      </c>
      <c r="G52" s="118">
        <v>9651552</v>
      </c>
      <c r="H52" s="18">
        <v>20.010000000000002</v>
      </c>
      <c r="I52" s="21" t="str">
        <f>IFERROR(VLOOKUP(H52,[4]Listas!$B$124:$C$142,2,FALSE),"")</f>
        <v>Recursos Propios</v>
      </c>
      <c r="J52" s="454"/>
      <c r="K52" s="454"/>
      <c r="L52" s="22"/>
      <c r="M52" s="456"/>
      <c r="N52" s="498"/>
      <c r="O52" s="509"/>
      <c r="P52" s="463"/>
      <c r="Q52" s="463"/>
      <c r="R52" s="454"/>
      <c r="S52" s="463"/>
      <c r="T52" s="480"/>
      <c r="U52" s="500"/>
      <c r="V52" s="500"/>
      <c r="W52" s="463"/>
      <c r="X52" s="463"/>
      <c r="Y52" s="13" t="s">
        <v>380</v>
      </c>
      <c r="Z52" s="454"/>
      <c r="AA52" s="522"/>
      <c r="AB52" s="6" t="s">
        <v>101</v>
      </c>
      <c r="AC52" s="6" t="s">
        <v>50</v>
      </c>
      <c r="AD52" s="518"/>
      <c r="AE52" s="518"/>
      <c r="AF52" s="520"/>
      <c r="AG52" s="502"/>
      <c r="AH52" s="502"/>
      <c r="AI52" s="502"/>
      <c r="AJ52" s="502"/>
      <c r="AK52" s="502"/>
    </row>
    <row r="53" spans="1:37" ht="76.5" hidden="1">
      <c r="A53" s="18">
        <v>41102</v>
      </c>
      <c r="B53" s="21" t="str">
        <f>IFERROR(VLOOKUP(A53,[4]Listas!$A$91:$B$107,2,FALSE),"")</f>
        <v>FORMACIÓN DE LENGUA EXTRANJERA</v>
      </c>
      <c r="C53" s="52" t="s">
        <v>158</v>
      </c>
      <c r="D53" s="22" t="s">
        <v>150</v>
      </c>
      <c r="E53" s="27" t="s">
        <v>67</v>
      </c>
      <c r="F53" s="18" t="s">
        <v>160</v>
      </c>
      <c r="G53" s="118">
        <v>7139660</v>
      </c>
      <c r="H53" s="18" t="s">
        <v>155</v>
      </c>
      <c r="I53" s="21" t="str">
        <f>IFERROR(VLOOKUP(H53,[4]Listas!$B$124:$C$142,2,FALSE),"")</f>
        <v>Recursos del Balance - Propios</v>
      </c>
      <c r="J53" s="18">
        <v>3</v>
      </c>
      <c r="K53" s="18" t="s">
        <v>47</v>
      </c>
      <c r="L53" s="22"/>
      <c r="M53" s="28" t="str">
        <f t="shared" ref="M53:M72" si="2">"INV-"&amp;A53&amp;"-"&amp;J53</f>
        <v>INV-41102-3</v>
      </c>
      <c r="N53" s="22">
        <v>80111600</v>
      </c>
      <c r="O53" s="125" t="s">
        <v>161</v>
      </c>
      <c r="P53" s="29" t="s">
        <v>55</v>
      </c>
      <c r="Q53" s="29" t="s">
        <v>55</v>
      </c>
      <c r="R53" s="18">
        <v>3</v>
      </c>
      <c r="S53" s="29" t="s">
        <v>45</v>
      </c>
      <c r="T53" s="44" t="s">
        <v>48</v>
      </c>
      <c r="U53" s="57">
        <f t="shared" ref="U53:U58" si="3">G53</f>
        <v>7139660</v>
      </c>
      <c r="V53" s="57">
        <f t="shared" ref="V53:V54" si="4">U53</f>
        <v>7139660</v>
      </c>
      <c r="W53" s="29" t="s">
        <v>43</v>
      </c>
      <c r="X53" s="29" t="s">
        <v>46</v>
      </c>
      <c r="Y53" s="13" t="s">
        <v>380</v>
      </c>
      <c r="Z53" s="18" t="s">
        <v>49</v>
      </c>
      <c r="AA53" s="31" t="s">
        <v>157</v>
      </c>
      <c r="AB53" s="6" t="s">
        <v>101</v>
      </c>
      <c r="AC53" s="6" t="s">
        <v>50</v>
      </c>
      <c r="AD53" s="58" t="s">
        <v>43</v>
      </c>
      <c r="AE53" s="58" t="s">
        <v>47</v>
      </c>
      <c r="AF53" s="59" t="s">
        <v>72</v>
      </c>
      <c r="AG53" s="33" t="s">
        <v>73</v>
      </c>
      <c r="AH53" s="33" t="s">
        <v>74</v>
      </c>
      <c r="AI53" s="33" t="s">
        <v>72</v>
      </c>
      <c r="AJ53" s="33" t="s">
        <v>75</v>
      </c>
      <c r="AK53" s="33" t="s">
        <v>76</v>
      </c>
    </row>
    <row r="54" spans="1:37" ht="76.5" hidden="1">
      <c r="A54" s="18">
        <v>41102</v>
      </c>
      <c r="B54" s="21" t="str">
        <f>IFERROR(VLOOKUP(A54,[4]Listas!$A$91:$B$107,2,FALSE),"")</f>
        <v>FORMACIÓN DE LENGUA EXTRANJERA</v>
      </c>
      <c r="C54" s="52" t="s">
        <v>158</v>
      </c>
      <c r="D54" s="22" t="s">
        <v>150</v>
      </c>
      <c r="E54" s="27" t="s">
        <v>67</v>
      </c>
      <c r="F54" s="18" t="s">
        <v>160</v>
      </c>
      <c r="G54" s="118">
        <v>3569830</v>
      </c>
      <c r="H54" s="18" t="s">
        <v>155</v>
      </c>
      <c r="I54" s="21" t="str">
        <f>IFERROR(VLOOKUP(H54,[4]Listas!$B$124:$C$142,2,FALSE),"")</f>
        <v>Recursos del Balance - Propios</v>
      </c>
      <c r="J54" s="18">
        <v>4</v>
      </c>
      <c r="K54" s="18" t="s">
        <v>47</v>
      </c>
      <c r="L54" s="22"/>
      <c r="M54" s="28" t="str">
        <f t="shared" si="2"/>
        <v>INV-41102-4</v>
      </c>
      <c r="N54" s="22">
        <v>80111600</v>
      </c>
      <c r="O54" s="125" t="s">
        <v>161</v>
      </c>
      <c r="P54" s="29" t="s">
        <v>55</v>
      </c>
      <c r="Q54" s="29" t="s">
        <v>55</v>
      </c>
      <c r="R54" s="18">
        <v>3</v>
      </c>
      <c r="S54" s="29" t="s">
        <v>45</v>
      </c>
      <c r="T54" s="44" t="s">
        <v>48</v>
      </c>
      <c r="U54" s="57">
        <f t="shared" si="3"/>
        <v>3569830</v>
      </c>
      <c r="V54" s="57">
        <f t="shared" si="4"/>
        <v>3569830</v>
      </c>
      <c r="W54" s="29" t="s">
        <v>43</v>
      </c>
      <c r="X54" s="29" t="s">
        <v>46</v>
      </c>
      <c r="Y54" s="13" t="s">
        <v>380</v>
      </c>
      <c r="Z54" s="18" t="s">
        <v>49</v>
      </c>
      <c r="AA54" s="31" t="s">
        <v>157</v>
      </c>
      <c r="AB54" s="6" t="s">
        <v>101</v>
      </c>
      <c r="AC54" s="6" t="s">
        <v>50</v>
      </c>
      <c r="AD54" s="58" t="s">
        <v>43</v>
      </c>
      <c r="AE54" s="58" t="s">
        <v>47</v>
      </c>
      <c r="AF54" s="59" t="s">
        <v>72</v>
      </c>
      <c r="AG54" s="33" t="s">
        <v>73</v>
      </c>
      <c r="AH54" s="33" t="s">
        <v>74</v>
      </c>
      <c r="AI54" s="33" t="s">
        <v>72</v>
      </c>
      <c r="AJ54" s="33" t="s">
        <v>75</v>
      </c>
      <c r="AK54" s="33" t="s">
        <v>76</v>
      </c>
    </row>
    <row r="55" spans="1:37" ht="76.5" hidden="1">
      <c r="A55" s="18">
        <v>41102</v>
      </c>
      <c r="B55" s="21" t="str">
        <f>IFERROR(VLOOKUP(A55,[4]Listas!$A$91:$B$107,2,FALSE),"")</f>
        <v>FORMACIÓN DE LENGUA EXTRANJERA</v>
      </c>
      <c r="C55" s="52" t="s">
        <v>158</v>
      </c>
      <c r="D55" s="22" t="s">
        <v>150</v>
      </c>
      <c r="E55" s="27" t="s">
        <v>67</v>
      </c>
      <c r="F55" s="18" t="s">
        <v>160</v>
      </c>
      <c r="G55" s="118">
        <v>3569830</v>
      </c>
      <c r="H55" s="18" t="s">
        <v>155</v>
      </c>
      <c r="I55" s="21" t="str">
        <f>IFERROR(VLOOKUP(H55,[4]Listas!$B$124:$C$142,2,FALSE),"")</f>
        <v>Recursos del Balance - Propios</v>
      </c>
      <c r="J55" s="18">
        <v>5</v>
      </c>
      <c r="K55" s="18" t="s">
        <v>47</v>
      </c>
      <c r="L55" s="22"/>
      <c r="M55" s="36" t="str">
        <f t="shared" si="2"/>
        <v>INV-41102-5</v>
      </c>
      <c r="N55" s="22">
        <v>80111600</v>
      </c>
      <c r="O55" s="125" t="s">
        <v>162</v>
      </c>
      <c r="P55" s="29" t="s">
        <v>163</v>
      </c>
      <c r="Q55" s="29" t="s">
        <v>163</v>
      </c>
      <c r="R55" s="18">
        <v>3</v>
      </c>
      <c r="S55" s="29" t="s">
        <v>45</v>
      </c>
      <c r="T55" s="44" t="s">
        <v>48</v>
      </c>
      <c r="U55" s="57">
        <f t="shared" si="3"/>
        <v>3569830</v>
      </c>
      <c r="V55" s="57">
        <f>U55</f>
        <v>3569830</v>
      </c>
      <c r="W55" s="29" t="s">
        <v>43</v>
      </c>
      <c r="X55" s="29" t="s">
        <v>46</v>
      </c>
      <c r="Y55" s="13" t="s">
        <v>380</v>
      </c>
      <c r="Z55" s="18" t="s">
        <v>49</v>
      </c>
      <c r="AA55" s="31" t="s">
        <v>157</v>
      </c>
      <c r="AB55" s="6" t="s">
        <v>101</v>
      </c>
      <c r="AC55" s="6" t="s">
        <v>50</v>
      </c>
      <c r="AD55" s="58" t="s">
        <v>43</v>
      </c>
      <c r="AE55" s="58" t="s">
        <v>47</v>
      </c>
      <c r="AF55" s="59" t="s">
        <v>72</v>
      </c>
      <c r="AG55" s="33" t="s">
        <v>73</v>
      </c>
      <c r="AH55" s="33" t="s">
        <v>74</v>
      </c>
      <c r="AI55" s="33" t="s">
        <v>72</v>
      </c>
      <c r="AJ55" s="33" t="s">
        <v>75</v>
      </c>
      <c r="AK55" s="33" t="s">
        <v>76</v>
      </c>
    </row>
    <row r="56" spans="1:37" ht="76.5" hidden="1">
      <c r="A56" s="18">
        <v>41102</v>
      </c>
      <c r="B56" s="21" t="str">
        <f>IFERROR(VLOOKUP(A56,[4]Listas!$A$91:$B$107,2,FALSE),"")</f>
        <v>FORMACIÓN DE LENGUA EXTRANJERA</v>
      </c>
      <c r="C56" s="52" t="s">
        <v>158</v>
      </c>
      <c r="D56" s="22" t="s">
        <v>150</v>
      </c>
      <c r="E56" s="27" t="s">
        <v>67</v>
      </c>
      <c r="F56" s="18" t="s">
        <v>160</v>
      </c>
      <c r="G56" s="118">
        <v>3569830</v>
      </c>
      <c r="H56" s="18" t="s">
        <v>155</v>
      </c>
      <c r="I56" s="21" t="str">
        <f>IFERROR(VLOOKUP(H56,[4]Listas!$B$124:$C$142,2,FALSE),"")</f>
        <v>Recursos del Balance - Propios</v>
      </c>
      <c r="J56" s="18">
        <v>6</v>
      </c>
      <c r="K56" s="18" t="s">
        <v>47</v>
      </c>
      <c r="L56" s="22"/>
      <c r="M56" s="36" t="str">
        <f t="shared" si="2"/>
        <v>INV-41102-6</v>
      </c>
      <c r="N56" s="22">
        <v>80111600</v>
      </c>
      <c r="O56" s="125" t="s">
        <v>162</v>
      </c>
      <c r="P56" s="29" t="s">
        <v>163</v>
      </c>
      <c r="Q56" s="29" t="s">
        <v>163</v>
      </c>
      <c r="R56" s="18">
        <v>3</v>
      </c>
      <c r="S56" s="29" t="s">
        <v>45</v>
      </c>
      <c r="T56" s="44" t="s">
        <v>48</v>
      </c>
      <c r="U56" s="57">
        <f t="shared" si="3"/>
        <v>3569830</v>
      </c>
      <c r="V56" s="57">
        <f t="shared" ref="V56:V58" si="5">U56</f>
        <v>3569830</v>
      </c>
      <c r="W56" s="29" t="s">
        <v>43</v>
      </c>
      <c r="X56" s="29" t="s">
        <v>46</v>
      </c>
      <c r="Y56" s="13" t="s">
        <v>380</v>
      </c>
      <c r="Z56" s="18" t="s">
        <v>49</v>
      </c>
      <c r="AA56" s="31" t="s">
        <v>157</v>
      </c>
      <c r="AB56" s="6" t="s">
        <v>101</v>
      </c>
      <c r="AC56" s="6" t="s">
        <v>50</v>
      </c>
      <c r="AD56" s="58" t="s">
        <v>43</v>
      </c>
      <c r="AE56" s="58" t="s">
        <v>47</v>
      </c>
      <c r="AF56" s="59" t="s">
        <v>72</v>
      </c>
      <c r="AG56" s="33" t="s">
        <v>73</v>
      </c>
      <c r="AH56" s="33" t="s">
        <v>74</v>
      </c>
      <c r="AI56" s="33" t="s">
        <v>72</v>
      </c>
      <c r="AJ56" s="33" t="s">
        <v>75</v>
      </c>
      <c r="AK56" s="33" t="s">
        <v>76</v>
      </c>
    </row>
    <row r="57" spans="1:37" ht="76.5" hidden="1">
      <c r="A57" s="18">
        <v>41102</v>
      </c>
      <c r="B57" s="21" t="str">
        <f>IFERROR(VLOOKUP(A57,[4]Listas!$A$91:$B$107,2,FALSE),"")</f>
        <v>FORMACIÓN DE LENGUA EXTRANJERA</v>
      </c>
      <c r="C57" s="52" t="s">
        <v>158</v>
      </c>
      <c r="D57" s="22" t="s">
        <v>150</v>
      </c>
      <c r="E57" s="27" t="s">
        <v>67</v>
      </c>
      <c r="F57" s="18" t="s">
        <v>160</v>
      </c>
      <c r="G57" s="118">
        <v>8343092</v>
      </c>
      <c r="H57" s="18" t="s">
        <v>155</v>
      </c>
      <c r="I57" s="22" t="str">
        <f>IFERROR(VLOOKUP(H57,[4]Listas!$B$124:$C$142,2,FALSE),"")</f>
        <v>Recursos del Balance - Propios</v>
      </c>
      <c r="J57" s="18">
        <v>7</v>
      </c>
      <c r="K57" s="18" t="s">
        <v>47</v>
      </c>
      <c r="L57" s="22"/>
      <c r="M57" s="36" t="str">
        <f t="shared" si="2"/>
        <v>INV-41102-7</v>
      </c>
      <c r="N57" s="22">
        <v>80111600</v>
      </c>
      <c r="O57" s="125" t="s">
        <v>164</v>
      </c>
      <c r="P57" s="29" t="s">
        <v>55</v>
      </c>
      <c r="Q57" s="29" t="s">
        <v>55</v>
      </c>
      <c r="R57" s="18">
        <v>3</v>
      </c>
      <c r="S57" s="29" t="s">
        <v>45</v>
      </c>
      <c r="T57" s="44" t="s">
        <v>48</v>
      </c>
      <c r="U57" s="57">
        <f t="shared" si="3"/>
        <v>8343092</v>
      </c>
      <c r="V57" s="57">
        <f t="shared" si="5"/>
        <v>8343092</v>
      </c>
      <c r="W57" s="29" t="s">
        <v>43</v>
      </c>
      <c r="X57" s="29" t="s">
        <v>46</v>
      </c>
      <c r="Y57" s="13" t="s">
        <v>380</v>
      </c>
      <c r="Z57" s="18" t="s">
        <v>49</v>
      </c>
      <c r="AA57" s="31" t="s">
        <v>157</v>
      </c>
      <c r="AB57" s="6" t="s">
        <v>101</v>
      </c>
      <c r="AC57" s="6" t="s">
        <v>50</v>
      </c>
      <c r="AD57" s="58" t="s">
        <v>43</v>
      </c>
      <c r="AE57" s="58" t="s">
        <v>47</v>
      </c>
      <c r="AF57" s="59" t="s">
        <v>72</v>
      </c>
      <c r="AG57" s="33" t="s">
        <v>73</v>
      </c>
      <c r="AH57" s="33" t="s">
        <v>74</v>
      </c>
      <c r="AI57" s="33" t="s">
        <v>72</v>
      </c>
      <c r="AJ57" s="33" t="s">
        <v>75</v>
      </c>
      <c r="AK57" s="33" t="s">
        <v>76</v>
      </c>
    </row>
    <row r="58" spans="1:37" ht="76.5" hidden="1">
      <c r="A58" s="18">
        <v>41102</v>
      </c>
      <c r="B58" s="21" t="str">
        <f>IFERROR(VLOOKUP(A58,[4]Listas!$A$91:$B$107,2,FALSE),"")</f>
        <v>FORMACIÓN DE LENGUA EXTRANJERA</v>
      </c>
      <c r="C58" s="52" t="s">
        <v>158</v>
      </c>
      <c r="D58" s="22" t="s">
        <v>150</v>
      </c>
      <c r="E58" s="27" t="s">
        <v>67</v>
      </c>
      <c r="F58" s="18" t="s">
        <v>160</v>
      </c>
      <c r="G58" s="118">
        <v>4875776</v>
      </c>
      <c r="H58" s="18" t="s">
        <v>155</v>
      </c>
      <c r="I58" s="21" t="str">
        <f>IFERROR(VLOOKUP(H58,[4]Listas!$B$124:$C$142,2,FALSE),"")</f>
        <v>Recursos del Balance - Propios</v>
      </c>
      <c r="J58" s="18">
        <v>8</v>
      </c>
      <c r="K58" s="18" t="s">
        <v>47</v>
      </c>
      <c r="L58" s="22"/>
      <c r="M58" s="36" t="str">
        <f t="shared" si="2"/>
        <v>INV-41102-8</v>
      </c>
      <c r="N58" s="22">
        <v>80111600</v>
      </c>
      <c r="O58" s="125" t="s">
        <v>165</v>
      </c>
      <c r="P58" s="29" t="s">
        <v>163</v>
      </c>
      <c r="Q58" s="29" t="s">
        <v>163</v>
      </c>
      <c r="R58" s="18">
        <v>3</v>
      </c>
      <c r="S58" s="29" t="s">
        <v>45</v>
      </c>
      <c r="T58" s="44" t="s">
        <v>48</v>
      </c>
      <c r="U58" s="57">
        <f t="shared" si="3"/>
        <v>4875776</v>
      </c>
      <c r="V58" s="57">
        <f t="shared" si="5"/>
        <v>4875776</v>
      </c>
      <c r="W58" s="29" t="s">
        <v>43</v>
      </c>
      <c r="X58" s="29" t="s">
        <v>46</v>
      </c>
      <c r="Y58" s="13" t="s">
        <v>380</v>
      </c>
      <c r="Z58" s="18" t="s">
        <v>49</v>
      </c>
      <c r="AA58" s="31" t="s">
        <v>157</v>
      </c>
      <c r="AB58" s="6" t="s">
        <v>101</v>
      </c>
      <c r="AC58" s="6" t="s">
        <v>50</v>
      </c>
      <c r="AD58" s="58" t="s">
        <v>43</v>
      </c>
      <c r="AE58" s="58" t="s">
        <v>47</v>
      </c>
      <c r="AF58" s="59" t="s">
        <v>72</v>
      </c>
      <c r="AG58" s="33" t="s">
        <v>73</v>
      </c>
      <c r="AH58" s="33" t="s">
        <v>74</v>
      </c>
      <c r="AI58" s="33" t="s">
        <v>72</v>
      </c>
      <c r="AJ58" s="33" t="s">
        <v>75</v>
      </c>
      <c r="AK58" s="33" t="s">
        <v>76</v>
      </c>
    </row>
    <row r="59" spans="1:37" ht="51" hidden="1">
      <c r="A59" s="2">
        <v>43201</v>
      </c>
      <c r="B59" s="60" t="str">
        <f>IFERROR(VLOOKUP(A59,[5]Listas!A$134:C$147,2,FALSE),"")</f>
        <v>CONSTRUCCIÓN DE LA FACULTAD DE EDUCACIÓN FÍSICA DEL PROYECTO VALMARÍA</v>
      </c>
      <c r="C59" s="20" t="s">
        <v>166</v>
      </c>
      <c r="D59" s="20" t="s">
        <v>167</v>
      </c>
      <c r="E59" s="20" t="s">
        <v>67</v>
      </c>
      <c r="F59" s="20" t="s">
        <v>168</v>
      </c>
      <c r="G59" s="119">
        <v>235654403</v>
      </c>
      <c r="H59" s="20" t="s">
        <v>169</v>
      </c>
      <c r="I59" s="39" t="str">
        <f>IFERROR(VLOOKUP(H59,[5]Fuentes!$C$5:$D$36,2,FALSE),"")</f>
        <v xml:space="preserve">Rendimientos Financieros – Estampilla Universidad Pedagógica Nacional </v>
      </c>
      <c r="J59" s="120" t="s">
        <v>170</v>
      </c>
      <c r="K59" s="121" t="s">
        <v>171</v>
      </c>
      <c r="L59" s="22"/>
      <c r="M59" s="28" t="str">
        <f t="shared" si="2"/>
        <v>INV-43201-1</v>
      </c>
      <c r="N59" s="20" t="s">
        <v>172</v>
      </c>
      <c r="O59" s="125" t="s">
        <v>173</v>
      </c>
      <c r="P59" s="29" t="s">
        <v>55</v>
      </c>
      <c r="Q59" s="29" t="s">
        <v>55</v>
      </c>
      <c r="R59" s="18">
        <v>4</v>
      </c>
      <c r="S59" s="29" t="s">
        <v>45</v>
      </c>
      <c r="T59" s="62" t="s">
        <v>174</v>
      </c>
      <c r="U59" s="94">
        <f t="shared" ref="U59:U79" si="6">+G59</f>
        <v>235654403</v>
      </c>
      <c r="V59" s="94">
        <f t="shared" ref="V59:V79" si="7">+G59</f>
        <v>235654403</v>
      </c>
      <c r="W59" s="63" t="s">
        <v>43</v>
      </c>
      <c r="X59" s="63" t="s">
        <v>46</v>
      </c>
      <c r="Y59" s="13" t="s">
        <v>380</v>
      </c>
      <c r="Z59" s="64" t="s">
        <v>49</v>
      </c>
      <c r="AA59" s="93" t="s">
        <v>326</v>
      </c>
      <c r="AB59" s="6" t="s">
        <v>101</v>
      </c>
      <c r="AC59" s="6" t="s">
        <v>50</v>
      </c>
      <c r="AD59" s="43" t="s">
        <v>43</v>
      </c>
      <c r="AE59" s="43" t="s">
        <v>47</v>
      </c>
      <c r="AF59" s="65" t="s">
        <v>72</v>
      </c>
      <c r="AG59" s="65" t="s">
        <v>73</v>
      </c>
      <c r="AH59" s="65" t="s">
        <v>74</v>
      </c>
      <c r="AI59" s="65" t="s">
        <v>53</v>
      </c>
      <c r="AJ59" s="66" t="s">
        <v>75</v>
      </c>
      <c r="AK59" s="66" t="s">
        <v>76</v>
      </c>
    </row>
    <row r="60" spans="1:37" ht="51" hidden="1">
      <c r="A60" s="2">
        <v>43201</v>
      </c>
      <c r="B60" s="60" t="str">
        <f>IFERROR(VLOOKUP(A60,[6]Listas!A$134:C$147,2,FALSE),"")</f>
        <v>CONSTRUCCIÓN DE LA FACULTAD DE EDUCACIÓN FÍSICA DEL PROYECTO VALMARÍA</v>
      </c>
      <c r="C60" s="20" t="s">
        <v>166</v>
      </c>
      <c r="D60" s="20" t="s">
        <v>167</v>
      </c>
      <c r="E60" s="20" t="s">
        <v>67</v>
      </c>
      <c r="F60" s="20" t="s">
        <v>168</v>
      </c>
      <c r="G60" s="119">
        <v>220962245</v>
      </c>
      <c r="H60" s="20" t="s">
        <v>169</v>
      </c>
      <c r="I60" s="39" t="str">
        <f>IFERROR(VLOOKUP(H60,[6]Fuentes!$C$5:$D$36,2,FALSE),"")</f>
        <v xml:space="preserve">Rendimientos Financieros – Estampilla Universidad Pedagógica Nacional </v>
      </c>
      <c r="J60" s="120" t="s">
        <v>175</v>
      </c>
      <c r="K60" s="121" t="s">
        <v>171</v>
      </c>
      <c r="L60" s="22"/>
      <c r="M60" s="28" t="str">
        <f t="shared" si="2"/>
        <v>INV-43201-2</v>
      </c>
      <c r="N60" s="20" t="s">
        <v>176</v>
      </c>
      <c r="O60" s="125" t="s">
        <v>177</v>
      </c>
      <c r="P60" s="29" t="s">
        <v>55</v>
      </c>
      <c r="Q60" s="29" t="s">
        <v>55</v>
      </c>
      <c r="R60" s="18">
        <v>3</v>
      </c>
      <c r="S60" s="29" t="s">
        <v>45</v>
      </c>
      <c r="T60" s="62" t="s">
        <v>174</v>
      </c>
      <c r="U60" s="94">
        <f t="shared" si="6"/>
        <v>220962245</v>
      </c>
      <c r="V60" s="94">
        <f t="shared" si="7"/>
        <v>220962245</v>
      </c>
      <c r="W60" s="63" t="s">
        <v>43</v>
      </c>
      <c r="X60" s="63" t="s">
        <v>46</v>
      </c>
      <c r="Y60" s="13" t="s">
        <v>380</v>
      </c>
      <c r="Z60" s="64" t="s">
        <v>49</v>
      </c>
      <c r="AA60" s="93" t="s">
        <v>326</v>
      </c>
      <c r="AB60" s="6" t="s">
        <v>101</v>
      </c>
      <c r="AC60" s="6" t="s">
        <v>50</v>
      </c>
      <c r="AD60" s="43" t="s">
        <v>43</v>
      </c>
      <c r="AE60" s="43" t="s">
        <v>47</v>
      </c>
      <c r="AF60" s="65" t="s">
        <v>72</v>
      </c>
      <c r="AG60" s="65" t="s">
        <v>73</v>
      </c>
      <c r="AH60" s="65" t="s">
        <v>74</v>
      </c>
      <c r="AI60" s="65" t="s">
        <v>53</v>
      </c>
      <c r="AJ60" s="66" t="s">
        <v>75</v>
      </c>
      <c r="AK60" s="66" t="s">
        <v>76</v>
      </c>
    </row>
    <row r="61" spans="1:37" ht="51" hidden="1">
      <c r="A61" s="2">
        <v>43201</v>
      </c>
      <c r="B61" s="60" t="str">
        <f>IFERROR(VLOOKUP(A61,[5]Listas!A$134:C$147,2,FALSE),"")</f>
        <v>CONSTRUCCIÓN DE LA FACULTAD DE EDUCACIÓN FÍSICA DEL PROYECTO VALMARÍA</v>
      </c>
      <c r="C61" s="20" t="s">
        <v>166</v>
      </c>
      <c r="D61" s="20" t="s">
        <v>167</v>
      </c>
      <c r="E61" s="20" t="s">
        <v>67</v>
      </c>
      <c r="F61" s="20" t="s">
        <v>168</v>
      </c>
      <c r="G61" s="122">
        <v>1464908838</v>
      </c>
      <c r="H61" s="20" t="s">
        <v>169</v>
      </c>
      <c r="I61" s="39" t="str">
        <f>IFERROR(VLOOKUP(H61,[7]Fuentes!$C$5:$D$36,2,FALSE),"")</f>
        <v>Rendimientos Financieros - Estampilla UPN</v>
      </c>
      <c r="J61" s="120" t="s">
        <v>178</v>
      </c>
      <c r="K61" s="121" t="s">
        <v>171</v>
      </c>
      <c r="L61" s="22"/>
      <c r="M61" s="28" t="str">
        <f t="shared" si="2"/>
        <v>INV-43201-3</v>
      </c>
      <c r="N61" s="20" t="s">
        <v>179</v>
      </c>
      <c r="O61" s="125" t="s">
        <v>180</v>
      </c>
      <c r="P61" s="29" t="s">
        <v>55</v>
      </c>
      <c r="Q61" s="29" t="s">
        <v>55</v>
      </c>
      <c r="R61" s="18">
        <v>5</v>
      </c>
      <c r="S61" s="29" t="s">
        <v>45</v>
      </c>
      <c r="T61" s="62" t="s">
        <v>174</v>
      </c>
      <c r="U61" s="94">
        <f t="shared" si="6"/>
        <v>1464908838</v>
      </c>
      <c r="V61" s="94">
        <f t="shared" si="7"/>
        <v>1464908838</v>
      </c>
      <c r="W61" s="63" t="s">
        <v>43</v>
      </c>
      <c r="X61" s="63" t="s">
        <v>46</v>
      </c>
      <c r="Y61" s="13" t="s">
        <v>380</v>
      </c>
      <c r="Z61" s="64" t="s">
        <v>49</v>
      </c>
      <c r="AA61" s="93" t="s">
        <v>326</v>
      </c>
      <c r="AB61" s="6" t="s">
        <v>101</v>
      </c>
      <c r="AC61" s="6" t="s">
        <v>50</v>
      </c>
      <c r="AD61" s="43" t="s">
        <v>43</v>
      </c>
      <c r="AE61" s="43" t="s">
        <v>47</v>
      </c>
      <c r="AF61" s="65" t="s">
        <v>72</v>
      </c>
      <c r="AG61" s="65" t="s">
        <v>73</v>
      </c>
      <c r="AH61" s="65" t="s">
        <v>74</v>
      </c>
      <c r="AI61" s="65" t="s">
        <v>53</v>
      </c>
      <c r="AJ61" s="66" t="s">
        <v>75</v>
      </c>
      <c r="AK61" s="66" t="s">
        <v>76</v>
      </c>
    </row>
    <row r="62" spans="1:37" ht="51" hidden="1">
      <c r="A62" s="2">
        <v>43201</v>
      </c>
      <c r="B62" s="60" t="str">
        <f>IFERROR(VLOOKUP(A62,[5]Listas!A$134:C$147,2,FALSE),"")</f>
        <v>CONSTRUCCIÓN DE LA FACULTAD DE EDUCACIÓN FÍSICA DEL PROYECTO VALMARÍA</v>
      </c>
      <c r="C62" s="20" t="s">
        <v>166</v>
      </c>
      <c r="D62" s="20" t="s">
        <v>167</v>
      </c>
      <c r="E62" s="20" t="s">
        <v>67</v>
      </c>
      <c r="F62" s="20" t="s">
        <v>181</v>
      </c>
      <c r="G62" s="119">
        <v>100000000</v>
      </c>
      <c r="H62" s="20" t="s">
        <v>169</v>
      </c>
      <c r="I62" s="39" t="str">
        <f>IFERROR(VLOOKUP(H62,[5]Fuentes!$C$5:$D$36,2,FALSE),"")</f>
        <v xml:space="preserve">Rendimientos Financieros – Estampilla Universidad Pedagógica Nacional </v>
      </c>
      <c r="J62" s="120" t="s">
        <v>182</v>
      </c>
      <c r="K62" s="121" t="s">
        <v>171</v>
      </c>
      <c r="L62" s="22"/>
      <c r="M62" s="28" t="str">
        <f t="shared" si="2"/>
        <v>INV-43201-4</v>
      </c>
      <c r="N62" s="20" t="s">
        <v>183</v>
      </c>
      <c r="O62" s="125" t="s">
        <v>435</v>
      </c>
      <c r="P62" s="29" t="s">
        <v>55</v>
      </c>
      <c r="Q62" s="29" t="s">
        <v>55</v>
      </c>
      <c r="R62" s="18">
        <v>2</v>
      </c>
      <c r="S62" s="29" t="s">
        <v>45</v>
      </c>
      <c r="T62" s="62" t="s">
        <v>99</v>
      </c>
      <c r="U62" s="94">
        <f t="shared" si="6"/>
        <v>100000000</v>
      </c>
      <c r="V62" s="94">
        <f t="shared" si="7"/>
        <v>100000000</v>
      </c>
      <c r="W62" s="63" t="s">
        <v>43</v>
      </c>
      <c r="X62" s="63" t="s">
        <v>46</v>
      </c>
      <c r="Y62" s="13" t="s">
        <v>380</v>
      </c>
      <c r="Z62" s="64" t="s">
        <v>49</v>
      </c>
      <c r="AA62" s="93" t="s">
        <v>326</v>
      </c>
      <c r="AB62" s="6" t="s">
        <v>101</v>
      </c>
      <c r="AC62" s="6" t="s">
        <v>50</v>
      </c>
      <c r="AD62" s="43" t="s">
        <v>43</v>
      </c>
      <c r="AE62" s="43" t="s">
        <v>47</v>
      </c>
      <c r="AF62" s="65" t="s">
        <v>72</v>
      </c>
      <c r="AG62" s="65" t="s">
        <v>73</v>
      </c>
      <c r="AH62" s="65" t="s">
        <v>74</v>
      </c>
      <c r="AI62" s="65" t="s">
        <v>53</v>
      </c>
      <c r="AJ62" s="66" t="s">
        <v>75</v>
      </c>
      <c r="AK62" s="66" t="s">
        <v>76</v>
      </c>
    </row>
    <row r="63" spans="1:37" ht="51" hidden="1">
      <c r="A63" s="2">
        <v>43201</v>
      </c>
      <c r="B63" s="60" t="str">
        <f>IFERROR(VLOOKUP(A63,[5]Listas!A$134:C$147,2,FALSE),"")</f>
        <v>CONSTRUCCIÓN DE LA FACULTAD DE EDUCACIÓN FÍSICA DEL PROYECTO VALMARÍA</v>
      </c>
      <c r="C63" s="20" t="s">
        <v>166</v>
      </c>
      <c r="D63" s="20" t="s">
        <v>167</v>
      </c>
      <c r="E63" s="20" t="s">
        <v>67</v>
      </c>
      <c r="F63" s="20" t="s">
        <v>181</v>
      </c>
      <c r="G63" s="119">
        <v>600000000</v>
      </c>
      <c r="H63" s="20" t="s">
        <v>169</v>
      </c>
      <c r="I63" s="39" t="str">
        <f>IFERROR(VLOOKUP(H63,[5]Fuentes!$C$5:$D$36,2,FALSE),"")</f>
        <v xml:space="preserve">Rendimientos Financieros – Estampilla Universidad Pedagógica Nacional </v>
      </c>
      <c r="J63" s="120" t="s">
        <v>184</v>
      </c>
      <c r="K63" s="121" t="s">
        <v>171</v>
      </c>
      <c r="L63" s="22"/>
      <c r="M63" s="28" t="str">
        <f t="shared" si="2"/>
        <v>INV-43201-5</v>
      </c>
      <c r="N63" s="20">
        <v>70111503</v>
      </c>
      <c r="O63" s="125" t="s">
        <v>436</v>
      </c>
      <c r="P63" s="29" t="s">
        <v>55</v>
      </c>
      <c r="Q63" s="29" t="s">
        <v>55</v>
      </c>
      <c r="R63" s="18">
        <v>11</v>
      </c>
      <c r="S63" s="29" t="s">
        <v>45</v>
      </c>
      <c r="T63" s="62" t="s">
        <v>174</v>
      </c>
      <c r="U63" s="94">
        <f t="shared" si="6"/>
        <v>600000000</v>
      </c>
      <c r="V63" s="94">
        <f t="shared" si="7"/>
        <v>600000000</v>
      </c>
      <c r="W63" s="63" t="s">
        <v>43</v>
      </c>
      <c r="X63" s="63" t="s">
        <v>46</v>
      </c>
      <c r="Y63" s="13" t="s">
        <v>380</v>
      </c>
      <c r="Z63" s="64" t="s">
        <v>49</v>
      </c>
      <c r="AA63" s="93" t="s">
        <v>326</v>
      </c>
      <c r="AB63" s="6" t="s">
        <v>101</v>
      </c>
      <c r="AC63" s="6" t="s">
        <v>50</v>
      </c>
      <c r="AD63" s="43" t="s">
        <v>43</v>
      </c>
      <c r="AE63" s="43" t="s">
        <v>47</v>
      </c>
      <c r="AF63" s="65" t="s">
        <v>72</v>
      </c>
      <c r="AG63" s="65" t="s">
        <v>73</v>
      </c>
      <c r="AH63" s="65" t="s">
        <v>74</v>
      </c>
      <c r="AI63" s="65" t="s">
        <v>53</v>
      </c>
      <c r="AJ63" s="66" t="s">
        <v>75</v>
      </c>
      <c r="AK63" s="66" t="s">
        <v>76</v>
      </c>
    </row>
    <row r="64" spans="1:37" ht="51" hidden="1">
      <c r="A64" s="2">
        <v>43201</v>
      </c>
      <c r="B64" s="60" t="str">
        <f>IFERROR(VLOOKUP(A64,[5]Listas!A$134:C$147,2,FALSE),"")</f>
        <v>CONSTRUCCIÓN DE LA FACULTAD DE EDUCACIÓN FÍSICA DEL PROYECTO VALMARÍA</v>
      </c>
      <c r="C64" s="20" t="s">
        <v>166</v>
      </c>
      <c r="D64" s="20" t="s">
        <v>167</v>
      </c>
      <c r="E64" s="20" t="s">
        <v>67</v>
      </c>
      <c r="F64" s="20" t="s">
        <v>181</v>
      </c>
      <c r="G64" s="119">
        <v>200000000</v>
      </c>
      <c r="H64" s="20" t="s">
        <v>169</v>
      </c>
      <c r="I64" s="39" t="str">
        <f>IFERROR(VLOOKUP(H64,[5]Fuentes!$C$5:$D$36,2,FALSE),"")</f>
        <v xml:space="preserve">Rendimientos Financieros – Estampilla Universidad Pedagógica Nacional </v>
      </c>
      <c r="J64" s="120" t="s">
        <v>185</v>
      </c>
      <c r="K64" s="121" t="s">
        <v>171</v>
      </c>
      <c r="L64" s="22"/>
      <c r="M64" s="28" t="str">
        <f t="shared" si="2"/>
        <v>INV-43201-6</v>
      </c>
      <c r="N64" s="20" t="s">
        <v>186</v>
      </c>
      <c r="O64" s="125" t="s">
        <v>187</v>
      </c>
      <c r="P64" s="29" t="s">
        <v>55</v>
      </c>
      <c r="Q64" s="29" t="s">
        <v>55</v>
      </c>
      <c r="R64" s="18">
        <v>2</v>
      </c>
      <c r="S64" s="29" t="s">
        <v>45</v>
      </c>
      <c r="T64" s="62" t="s">
        <v>174</v>
      </c>
      <c r="U64" s="94">
        <f t="shared" si="6"/>
        <v>200000000</v>
      </c>
      <c r="V64" s="94">
        <f t="shared" si="7"/>
        <v>200000000</v>
      </c>
      <c r="W64" s="63" t="s">
        <v>43</v>
      </c>
      <c r="X64" s="63" t="s">
        <v>46</v>
      </c>
      <c r="Y64" s="13" t="s">
        <v>380</v>
      </c>
      <c r="Z64" s="64" t="s">
        <v>49</v>
      </c>
      <c r="AA64" s="93" t="s">
        <v>326</v>
      </c>
      <c r="AB64" s="6" t="s">
        <v>101</v>
      </c>
      <c r="AC64" s="6" t="s">
        <v>50</v>
      </c>
      <c r="AD64" s="43" t="s">
        <v>43</v>
      </c>
      <c r="AE64" s="43" t="s">
        <v>47</v>
      </c>
      <c r="AF64" s="65" t="s">
        <v>72</v>
      </c>
      <c r="AG64" s="65" t="s">
        <v>73</v>
      </c>
      <c r="AH64" s="65" t="s">
        <v>74</v>
      </c>
      <c r="AI64" s="65" t="s">
        <v>53</v>
      </c>
      <c r="AJ64" s="66" t="s">
        <v>75</v>
      </c>
      <c r="AK64" s="66" t="s">
        <v>76</v>
      </c>
    </row>
    <row r="65" spans="1:37" ht="51" hidden="1">
      <c r="A65" s="2">
        <v>43201</v>
      </c>
      <c r="B65" s="60" t="str">
        <f>IFERROR(VLOOKUP(A65,[5]Listas!A$134:C$147,2,FALSE),"")</f>
        <v>CONSTRUCCIÓN DE LA FACULTAD DE EDUCACIÓN FÍSICA DEL PROYECTO VALMARÍA</v>
      </c>
      <c r="C65" s="20" t="s">
        <v>166</v>
      </c>
      <c r="D65" s="20" t="s">
        <v>167</v>
      </c>
      <c r="E65" s="20" t="s">
        <v>67</v>
      </c>
      <c r="F65" s="20" t="s">
        <v>181</v>
      </c>
      <c r="G65" s="119">
        <v>170000000</v>
      </c>
      <c r="H65" s="20" t="s">
        <v>169</v>
      </c>
      <c r="I65" s="39" t="str">
        <f>IFERROR(VLOOKUP(H65,[5]Fuentes!$C$5:$D$36,2,FALSE),"")</f>
        <v xml:space="preserve">Rendimientos Financieros – Estampilla Universidad Pedagógica Nacional </v>
      </c>
      <c r="J65" s="120" t="s">
        <v>188</v>
      </c>
      <c r="K65" s="121" t="s">
        <v>171</v>
      </c>
      <c r="L65" s="22"/>
      <c r="M65" s="28" t="str">
        <f t="shared" si="2"/>
        <v>INV-43201-7</v>
      </c>
      <c r="N65" s="20" t="s">
        <v>189</v>
      </c>
      <c r="O65" s="125" t="s">
        <v>190</v>
      </c>
      <c r="P65" s="29" t="s">
        <v>55</v>
      </c>
      <c r="Q65" s="29" t="s">
        <v>55</v>
      </c>
      <c r="R65" s="18">
        <v>2</v>
      </c>
      <c r="S65" s="29" t="s">
        <v>45</v>
      </c>
      <c r="T65" s="62" t="s">
        <v>174</v>
      </c>
      <c r="U65" s="94">
        <f t="shared" si="6"/>
        <v>170000000</v>
      </c>
      <c r="V65" s="94">
        <f t="shared" si="7"/>
        <v>170000000</v>
      </c>
      <c r="W65" s="63" t="s">
        <v>43</v>
      </c>
      <c r="X65" s="63" t="s">
        <v>46</v>
      </c>
      <c r="Y65" s="13" t="s">
        <v>380</v>
      </c>
      <c r="Z65" s="64" t="s">
        <v>49</v>
      </c>
      <c r="AA65" s="93" t="s">
        <v>326</v>
      </c>
      <c r="AB65" s="6" t="s">
        <v>101</v>
      </c>
      <c r="AC65" s="6" t="s">
        <v>50</v>
      </c>
      <c r="AD65" s="43" t="s">
        <v>43</v>
      </c>
      <c r="AE65" s="43" t="s">
        <v>47</v>
      </c>
      <c r="AF65" s="65" t="s">
        <v>72</v>
      </c>
      <c r="AG65" s="65" t="s">
        <v>73</v>
      </c>
      <c r="AH65" s="65" t="s">
        <v>74</v>
      </c>
      <c r="AI65" s="65" t="s">
        <v>53</v>
      </c>
      <c r="AJ65" s="66" t="s">
        <v>75</v>
      </c>
      <c r="AK65" s="66" t="s">
        <v>76</v>
      </c>
    </row>
    <row r="66" spans="1:37" ht="51" hidden="1">
      <c r="A66" s="2">
        <v>43201</v>
      </c>
      <c r="B66" s="60" t="str">
        <f>IFERROR(VLOOKUP(A66,[5]Listas!A$134:C$147,2,FALSE),"")</f>
        <v>CONSTRUCCIÓN DE LA FACULTAD DE EDUCACIÓN FÍSICA DEL PROYECTO VALMARÍA</v>
      </c>
      <c r="C66" s="20" t="s">
        <v>166</v>
      </c>
      <c r="D66" s="20" t="s">
        <v>167</v>
      </c>
      <c r="E66" s="20" t="s">
        <v>67</v>
      </c>
      <c r="F66" s="20" t="s">
        <v>181</v>
      </c>
      <c r="G66" s="119">
        <v>90000000</v>
      </c>
      <c r="H66" s="20" t="s">
        <v>169</v>
      </c>
      <c r="I66" s="39" t="str">
        <f>IFERROR(VLOOKUP(H66,[5]Fuentes!$C$5:$D$36,2,FALSE),"")</f>
        <v xml:space="preserve">Rendimientos Financieros – Estampilla Universidad Pedagógica Nacional </v>
      </c>
      <c r="J66" s="120" t="s">
        <v>191</v>
      </c>
      <c r="K66" s="121" t="s">
        <v>171</v>
      </c>
      <c r="L66" s="22"/>
      <c r="M66" s="28" t="str">
        <f t="shared" si="2"/>
        <v>INV-43201-8</v>
      </c>
      <c r="N66" s="20" t="s">
        <v>179</v>
      </c>
      <c r="O66" s="125" t="s">
        <v>192</v>
      </c>
      <c r="P66" s="29" t="s">
        <v>55</v>
      </c>
      <c r="Q66" s="29" t="s">
        <v>55</v>
      </c>
      <c r="R66" s="18">
        <v>2</v>
      </c>
      <c r="S66" s="29" t="s">
        <v>45</v>
      </c>
      <c r="T66" s="62" t="s">
        <v>99</v>
      </c>
      <c r="U66" s="94">
        <f t="shared" si="6"/>
        <v>90000000</v>
      </c>
      <c r="V66" s="94">
        <f t="shared" si="7"/>
        <v>90000000</v>
      </c>
      <c r="W66" s="63" t="s">
        <v>43</v>
      </c>
      <c r="X66" s="63" t="s">
        <v>46</v>
      </c>
      <c r="Y66" s="13" t="s">
        <v>380</v>
      </c>
      <c r="Z66" s="64" t="s">
        <v>49</v>
      </c>
      <c r="AA66" s="93" t="s">
        <v>326</v>
      </c>
      <c r="AB66" s="6" t="s">
        <v>101</v>
      </c>
      <c r="AC66" s="6" t="s">
        <v>50</v>
      </c>
      <c r="AD66" s="43" t="s">
        <v>43</v>
      </c>
      <c r="AE66" s="43" t="s">
        <v>47</v>
      </c>
      <c r="AF66" s="65" t="s">
        <v>72</v>
      </c>
      <c r="AG66" s="65" t="s">
        <v>73</v>
      </c>
      <c r="AH66" s="65" t="s">
        <v>74</v>
      </c>
      <c r="AI66" s="65" t="s">
        <v>53</v>
      </c>
      <c r="AJ66" s="66" t="s">
        <v>75</v>
      </c>
      <c r="AK66" s="66" t="s">
        <v>76</v>
      </c>
    </row>
    <row r="67" spans="1:37" ht="51" hidden="1">
      <c r="A67" s="2">
        <v>43201</v>
      </c>
      <c r="B67" s="60" t="str">
        <f>IFERROR(VLOOKUP(A67,[5]Listas!A$134:C$147,2,FALSE),"")</f>
        <v>CONSTRUCCIÓN DE LA FACULTAD DE EDUCACIÓN FÍSICA DEL PROYECTO VALMARÍA</v>
      </c>
      <c r="C67" s="20" t="s">
        <v>166</v>
      </c>
      <c r="D67" s="20" t="s">
        <v>167</v>
      </c>
      <c r="E67" s="20" t="s">
        <v>67</v>
      </c>
      <c r="F67" s="20" t="s">
        <v>193</v>
      </c>
      <c r="G67" s="67">
        <v>70000000</v>
      </c>
      <c r="H67" s="20" t="s">
        <v>169</v>
      </c>
      <c r="I67" s="39" t="str">
        <f>IFERROR(VLOOKUP(H67,[5]Fuentes!$C$5:$D$36,2,FALSE),"")</f>
        <v xml:space="preserve">Rendimientos Financieros – Estampilla Universidad Pedagógica Nacional </v>
      </c>
      <c r="J67" s="120" t="s">
        <v>194</v>
      </c>
      <c r="K67" s="121" t="s">
        <v>171</v>
      </c>
      <c r="L67" s="22"/>
      <c r="M67" s="28" t="str">
        <f t="shared" si="2"/>
        <v>INV-43201-9</v>
      </c>
      <c r="N67" s="5">
        <v>49241700</v>
      </c>
      <c r="O67" s="125" t="s">
        <v>195</v>
      </c>
      <c r="P67" s="29" t="s">
        <v>55</v>
      </c>
      <c r="Q67" s="29" t="s">
        <v>55</v>
      </c>
      <c r="R67" s="18">
        <v>1</v>
      </c>
      <c r="S67" s="29" t="s">
        <v>45</v>
      </c>
      <c r="T67" s="62" t="s">
        <v>99</v>
      </c>
      <c r="U67" s="94">
        <f t="shared" si="6"/>
        <v>70000000</v>
      </c>
      <c r="V67" s="94">
        <f t="shared" si="7"/>
        <v>70000000</v>
      </c>
      <c r="W67" s="63" t="s">
        <v>43</v>
      </c>
      <c r="X67" s="63" t="s">
        <v>46</v>
      </c>
      <c r="Y67" s="13" t="s">
        <v>380</v>
      </c>
      <c r="Z67" s="64" t="s">
        <v>49</v>
      </c>
      <c r="AA67" s="93" t="s">
        <v>326</v>
      </c>
      <c r="AB67" s="6" t="s">
        <v>101</v>
      </c>
      <c r="AC67" s="6" t="s">
        <v>50</v>
      </c>
      <c r="AD67" s="43" t="s">
        <v>43</v>
      </c>
      <c r="AE67" s="43" t="s">
        <v>47</v>
      </c>
      <c r="AF67" s="65" t="s">
        <v>72</v>
      </c>
      <c r="AG67" s="65" t="s">
        <v>73</v>
      </c>
      <c r="AH67" s="65" t="s">
        <v>74</v>
      </c>
      <c r="AI67" s="65" t="s">
        <v>53</v>
      </c>
      <c r="AJ67" s="66" t="s">
        <v>75</v>
      </c>
      <c r="AK67" s="66" t="s">
        <v>76</v>
      </c>
    </row>
    <row r="68" spans="1:37" ht="51" hidden="1">
      <c r="A68" s="2">
        <v>43201</v>
      </c>
      <c r="B68" s="60" t="str">
        <f>IFERROR(VLOOKUP(A68,[5]Listas!A$134:C$147,2,FALSE),"")</f>
        <v>CONSTRUCCIÓN DE LA FACULTAD DE EDUCACIÓN FÍSICA DEL PROYECTO VALMARÍA</v>
      </c>
      <c r="C68" s="20" t="s">
        <v>166</v>
      </c>
      <c r="D68" s="20" t="s">
        <v>167</v>
      </c>
      <c r="E68" s="20" t="s">
        <v>67</v>
      </c>
      <c r="F68" s="20" t="s">
        <v>168</v>
      </c>
      <c r="G68" s="67">
        <v>250000000</v>
      </c>
      <c r="H68" s="20" t="s">
        <v>169</v>
      </c>
      <c r="I68" s="39" t="str">
        <f>IFERROR(VLOOKUP(H68,[5]Fuentes!$C$5:$D$36,2,FALSE),"")</f>
        <v xml:space="preserve">Rendimientos Financieros – Estampilla Universidad Pedagógica Nacional </v>
      </c>
      <c r="J68" s="120" t="s">
        <v>196</v>
      </c>
      <c r="K68" s="121" t="s">
        <v>171</v>
      </c>
      <c r="L68" s="22"/>
      <c r="M68" s="28" t="str">
        <f t="shared" si="2"/>
        <v>INV-43201-10</v>
      </c>
      <c r="N68" s="5" t="s">
        <v>179</v>
      </c>
      <c r="O68" s="125" t="s">
        <v>197</v>
      </c>
      <c r="P68" s="29" t="s">
        <v>55</v>
      </c>
      <c r="Q68" s="29" t="s">
        <v>55</v>
      </c>
      <c r="R68" s="47">
        <v>4</v>
      </c>
      <c r="S68" s="29" t="s">
        <v>45</v>
      </c>
      <c r="T68" s="62" t="s">
        <v>174</v>
      </c>
      <c r="U68" s="94">
        <f t="shared" si="6"/>
        <v>250000000</v>
      </c>
      <c r="V68" s="94">
        <f t="shared" si="7"/>
        <v>250000000</v>
      </c>
      <c r="W68" s="63" t="s">
        <v>43</v>
      </c>
      <c r="X68" s="63" t="s">
        <v>46</v>
      </c>
      <c r="Y68" s="13" t="s">
        <v>380</v>
      </c>
      <c r="Z68" s="64" t="s">
        <v>49</v>
      </c>
      <c r="AA68" s="93" t="s">
        <v>326</v>
      </c>
      <c r="AB68" s="6" t="s">
        <v>101</v>
      </c>
      <c r="AC68" s="6" t="s">
        <v>50</v>
      </c>
      <c r="AD68" s="43" t="s">
        <v>43</v>
      </c>
      <c r="AE68" s="43" t="s">
        <v>47</v>
      </c>
      <c r="AF68" s="65" t="s">
        <v>72</v>
      </c>
      <c r="AG68" s="65" t="s">
        <v>73</v>
      </c>
      <c r="AH68" s="65" t="s">
        <v>74</v>
      </c>
      <c r="AI68" s="65" t="s">
        <v>53</v>
      </c>
      <c r="AJ68" s="66" t="s">
        <v>75</v>
      </c>
      <c r="AK68" s="66" t="s">
        <v>76</v>
      </c>
    </row>
    <row r="69" spans="1:37" ht="51" hidden="1">
      <c r="A69" s="2">
        <v>43201</v>
      </c>
      <c r="B69" s="60" t="str">
        <f>IFERROR(VLOOKUP(A69,[5]Listas!A$134:C$147,2,FALSE),"")</f>
        <v>CONSTRUCCIÓN DE LA FACULTAD DE EDUCACIÓN FÍSICA DEL PROYECTO VALMARÍA</v>
      </c>
      <c r="C69" s="20" t="s">
        <v>166</v>
      </c>
      <c r="D69" s="20" t="s">
        <v>167</v>
      </c>
      <c r="E69" s="20" t="s">
        <v>67</v>
      </c>
      <c r="F69" s="20" t="s">
        <v>168</v>
      </c>
      <c r="G69" s="67">
        <v>950000000</v>
      </c>
      <c r="H69" s="20" t="s">
        <v>169</v>
      </c>
      <c r="I69" s="39" t="str">
        <f>IFERROR(VLOOKUP(H69,[5]Fuentes!$C$5:$D$36,2,FALSE),"")</f>
        <v xml:space="preserve">Rendimientos Financieros – Estampilla Universidad Pedagógica Nacional </v>
      </c>
      <c r="J69" s="120" t="s">
        <v>198</v>
      </c>
      <c r="K69" s="121" t="s">
        <v>171</v>
      </c>
      <c r="L69" s="22"/>
      <c r="M69" s="28" t="str">
        <f t="shared" si="2"/>
        <v>INV-43201-11</v>
      </c>
      <c r="N69" s="20" t="s">
        <v>179</v>
      </c>
      <c r="O69" s="125" t="s">
        <v>199</v>
      </c>
      <c r="P69" s="29" t="s">
        <v>55</v>
      </c>
      <c r="Q69" s="29" t="s">
        <v>55</v>
      </c>
      <c r="R69" s="47">
        <v>3</v>
      </c>
      <c r="S69" s="29" t="s">
        <v>45</v>
      </c>
      <c r="T69" s="62" t="s">
        <v>174</v>
      </c>
      <c r="U69" s="94">
        <f t="shared" si="6"/>
        <v>950000000</v>
      </c>
      <c r="V69" s="94">
        <f t="shared" si="7"/>
        <v>950000000</v>
      </c>
      <c r="W69" s="63" t="s">
        <v>43</v>
      </c>
      <c r="X69" s="63" t="s">
        <v>46</v>
      </c>
      <c r="Y69" s="13" t="s">
        <v>380</v>
      </c>
      <c r="Z69" s="64" t="s">
        <v>49</v>
      </c>
      <c r="AA69" s="93" t="s">
        <v>326</v>
      </c>
      <c r="AB69" s="6" t="s">
        <v>101</v>
      </c>
      <c r="AC69" s="6" t="s">
        <v>50</v>
      </c>
      <c r="AD69" s="43" t="s">
        <v>43</v>
      </c>
      <c r="AE69" s="43" t="s">
        <v>47</v>
      </c>
      <c r="AF69" s="65" t="s">
        <v>72</v>
      </c>
      <c r="AG69" s="65" t="s">
        <v>73</v>
      </c>
      <c r="AH69" s="65" t="s">
        <v>74</v>
      </c>
      <c r="AI69" s="65" t="s">
        <v>53</v>
      </c>
      <c r="AJ69" s="66" t="s">
        <v>75</v>
      </c>
      <c r="AK69" s="66" t="s">
        <v>76</v>
      </c>
    </row>
    <row r="70" spans="1:37" ht="51" hidden="1">
      <c r="A70" s="2">
        <v>43201</v>
      </c>
      <c r="B70" s="60" t="str">
        <f>IFERROR(VLOOKUP(A70,[5]Listas!A$134:C$147,2,FALSE),"")</f>
        <v>CONSTRUCCIÓN DE LA FACULTAD DE EDUCACIÓN FÍSICA DEL PROYECTO VALMARÍA</v>
      </c>
      <c r="C70" s="20" t="s">
        <v>166</v>
      </c>
      <c r="D70" s="20" t="s">
        <v>167</v>
      </c>
      <c r="E70" s="20" t="s">
        <v>67</v>
      </c>
      <c r="F70" s="20" t="s">
        <v>168</v>
      </c>
      <c r="G70" s="123">
        <v>120000000</v>
      </c>
      <c r="H70" s="20" t="s">
        <v>169</v>
      </c>
      <c r="I70" s="39" t="str">
        <f>IFERROR(VLOOKUP(H70,[5]Fuentes!$C$5:$D$36,2,FALSE),"")</f>
        <v xml:space="preserve">Rendimientos Financieros – Estampilla Universidad Pedagógica Nacional </v>
      </c>
      <c r="J70" s="120" t="s">
        <v>200</v>
      </c>
      <c r="K70" s="121" t="s">
        <v>171</v>
      </c>
      <c r="L70" s="22"/>
      <c r="M70" s="28" t="str">
        <f t="shared" si="2"/>
        <v>INV-43201-12</v>
      </c>
      <c r="N70" s="5" t="s">
        <v>179</v>
      </c>
      <c r="O70" s="125" t="s">
        <v>201</v>
      </c>
      <c r="P70" s="29" t="s">
        <v>55</v>
      </c>
      <c r="Q70" s="29" t="s">
        <v>55</v>
      </c>
      <c r="R70" s="47">
        <v>4</v>
      </c>
      <c r="S70" s="29" t="s">
        <v>45</v>
      </c>
      <c r="T70" s="62" t="s">
        <v>99</v>
      </c>
      <c r="U70" s="94">
        <f t="shared" si="6"/>
        <v>120000000</v>
      </c>
      <c r="V70" s="94">
        <f t="shared" si="7"/>
        <v>120000000</v>
      </c>
      <c r="W70" s="63" t="s">
        <v>43</v>
      </c>
      <c r="X70" s="63" t="s">
        <v>46</v>
      </c>
      <c r="Y70" s="13" t="s">
        <v>380</v>
      </c>
      <c r="Z70" s="64" t="s">
        <v>49</v>
      </c>
      <c r="AA70" s="93" t="s">
        <v>326</v>
      </c>
      <c r="AB70" s="6" t="s">
        <v>101</v>
      </c>
      <c r="AC70" s="6" t="s">
        <v>50</v>
      </c>
      <c r="AD70" s="43" t="s">
        <v>43</v>
      </c>
      <c r="AE70" s="43" t="s">
        <v>47</v>
      </c>
      <c r="AF70" s="65" t="s">
        <v>72</v>
      </c>
      <c r="AG70" s="65" t="s">
        <v>73</v>
      </c>
      <c r="AH70" s="65" t="s">
        <v>74</v>
      </c>
      <c r="AI70" s="65" t="s">
        <v>53</v>
      </c>
      <c r="AJ70" s="66" t="s">
        <v>75</v>
      </c>
      <c r="AK70" s="66" t="s">
        <v>76</v>
      </c>
    </row>
    <row r="71" spans="1:37" ht="51" hidden="1">
      <c r="A71" s="2">
        <v>43201</v>
      </c>
      <c r="B71" s="60" t="str">
        <f>IFERROR(VLOOKUP(A71,[5]Listas!A$134:C$147,2,FALSE),"")</f>
        <v>CONSTRUCCIÓN DE LA FACULTAD DE EDUCACIÓN FÍSICA DEL PROYECTO VALMARÍA</v>
      </c>
      <c r="C71" s="20" t="s">
        <v>166</v>
      </c>
      <c r="D71" s="20" t="s">
        <v>167</v>
      </c>
      <c r="E71" s="20" t="s">
        <v>67</v>
      </c>
      <c r="F71" s="20" t="s">
        <v>168</v>
      </c>
      <c r="G71" s="67">
        <v>100000000</v>
      </c>
      <c r="H71" s="20" t="s">
        <v>169</v>
      </c>
      <c r="I71" s="39" t="str">
        <f>IFERROR(VLOOKUP(H71,[5]Fuentes!$C$5:$D$36,2,FALSE),"")</f>
        <v xml:space="preserve">Rendimientos Financieros – Estampilla Universidad Pedagógica Nacional </v>
      </c>
      <c r="J71" s="120" t="s">
        <v>202</v>
      </c>
      <c r="K71" s="121" t="s">
        <v>171</v>
      </c>
      <c r="L71" s="22"/>
      <c r="M71" s="28" t="str">
        <f t="shared" si="2"/>
        <v>INV-43201-13</v>
      </c>
      <c r="N71" s="5" t="s">
        <v>179</v>
      </c>
      <c r="O71" s="125" t="s">
        <v>203</v>
      </c>
      <c r="P71" s="29" t="s">
        <v>55</v>
      </c>
      <c r="Q71" s="29" t="s">
        <v>55</v>
      </c>
      <c r="R71" s="18">
        <v>4</v>
      </c>
      <c r="S71" s="29" t="s">
        <v>45</v>
      </c>
      <c r="T71" s="62" t="s">
        <v>99</v>
      </c>
      <c r="U71" s="94">
        <f t="shared" si="6"/>
        <v>100000000</v>
      </c>
      <c r="V71" s="94">
        <f t="shared" si="7"/>
        <v>100000000</v>
      </c>
      <c r="W71" s="63" t="s">
        <v>43</v>
      </c>
      <c r="X71" s="63" t="s">
        <v>46</v>
      </c>
      <c r="Y71" s="13" t="s">
        <v>380</v>
      </c>
      <c r="Z71" s="64" t="s">
        <v>49</v>
      </c>
      <c r="AA71" s="93" t="s">
        <v>326</v>
      </c>
      <c r="AB71" s="6" t="s">
        <v>101</v>
      </c>
      <c r="AC71" s="6" t="s">
        <v>50</v>
      </c>
      <c r="AD71" s="43" t="s">
        <v>43</v>
      </c>
      <c r="AE71" s="43" t="s">
        <v>47</v>
      </c>
      <c r="AF71" s="65" t="s">
        <v>72</v>
      </c>
      <c r="AG71" s="65" t="s">
        <v>73</v>
      </c>
      <c r="AH71" s="65" t="s">
        <v>74</v>
      </c>
      <c r="AI71" s="65" t="s">
        <v>53</v>
      </c>
      <c r="AJ71" s="66" t="s">
        <v>75</v>
      </c>
      <c r="AK71" s="66" t="s">
        <v>76</v>
      </c>
    </row>
    <row r="72" spans="1:37" ht="51" hidden="1">
      <c r="A72" s="2">
        <v>43201</v>
      </c>
      <c r="B72" s="60" t="str">
        <f>IFERROR(VLOOKUP(A72,[5]Listas!A$134:C$147,2,FALSE),"")</f>
        <v>CONSTRUCCIÓN DE LA FACULTAD DE EDUCACIÓN FÍSICA DEL PROYECTO VALMARÍA</v>
      </c>
      <c r="C72" s="20" t="s">
        <v>166</v>
      </c>
      <c r="D72" s="20" t="s">
        <v>167</v>
      </c>
      <c r="E72" s="20" t="s">
        <v>67</v>
      </c>
      <c r="F72" s="50" t="s">
        <v>204</v>
      </c>
      <c r="G72" s="67">
        <v>12000000</v>
      </c>
      <c r="H72" s="20" t="s">
        <v>169</v>
      </c>
      <c r="I72" s="39" t="str">
        <f>IFERROR(VLOOKUP(H72,[5]Fuentes!$C$5:$D$36,2,FALSE),"")</f>
        <v xml:space="preserve">Rendimientos Financieros – Estampilla Universidad Pedagógica Nacional </v>
      </c>
      <c r="J72" s="510" t="s">
        <v>205</v>
      </c>
      <c r="K72" s="512" t="s">
        <v>171</v>
      </c>
      <c r="L72" s="497"/>
      <c r="M72" s="455" t="str">
        <f t="shared" si="2"/>
        <v>INV-43201-14</v>
      </c>
      <c r="N72" s="514" t="s">
        <v>438</v>
      </c>
      <c r="O72" s="516" t="s">
        <v>363</v>
      </c>
      <c r="P72" s="29" t="s">
        <v>55</v>
      </c>
      <c r="Q72" s="29" t="s">
        <v>55</v>
      </c>
      <c r="R72" s="453">
        <v>2</v>
      </c>
      <c r="S72" s="29" t="s">
        <v>45</v>
      </c>
      <c r="T72" s="62" t="s">
        <v>99</v>
      </c>
      <c r="U72" s="94">
        <f t="shared" si="6"/>
        <v>12000000</v>
      </c>
      <c r="V72" s="94">
        <f t="shared" si="7"/>
        <v>12000000</v>
      </c>
      <c r="W72" s="63" t="s">
        <v>43</v>
      </c>
      <c r="X72" s="63" t="s">
        <v>46</v>
      </c>
      <c r="Y72" s="13" t="s">
        <v>380</v>
      </c>
      <c r="Z72" s="64" t="s">
        <v>49</v>
      </c>
      <c r="AA72" s="93" t="s">
        <v>326</v>
      </c>
      <c r="AB72" s="6" t="s">
        <v>101</v>
      </c>
      <c r="AC72" s="6" t="s">
        <v>50</v>
      </c>
      <c r="AD72" s="43" t="s">
        <v>43</v>
      </c>
      <c r="AE72" s="43" t="s">
        <v>47</v>
      </c>
      <c r="AF72" s="65" t="s">
        <v>72</v>
      </c>
      <c r="AG72" s="65" t="s">
        <v>73</v>
      </c>
      <c r="AH72" s="65" t="s">
        <v>74</v>
      </c>
      <c r="AI72" s="65" t="s">
        <v>53</v>
      </c>
      <c r="AJ72" s="66" t="s">
        <v>75</v>
      </c>
      <c r="AK72" s="66" t="s">
        <v>76</v>
      </c>
    </row>
    <row r="73" spans="1:37" ht="51" hidden="1">
      <c r="A73" s="2">
        <v>43201</v>
      </c>
      <c r="B73" s="60" t="str">
        <f>IFERROR(VLOOKUP(A73,[5]Listas!A$134:C$147,2,FALSE),"")</f>
        <v>CONSTRUCCIÓN DE LA FACULTAD DE EDUCACIÓN FÍSICA DEL PROYECTO VALMARÍA</v>
      </c>
      <c r="C73" s="20" t="s">
        <v>166</v>
      </c>
      <c r="D73" s="20" t="s">
        <v>167</v>
      </c>
      <c r="E73" s="20" t="s">
        <v>67</v>
      </c>
      <c r="F73" s="50" t="s">
        <v>206</v>
      </c>
      <c r="G73" s="67">
        <v>80000000</v>
      </c>
      <c r="H73" s="20" t="s">
        <v>169</v>
      </c>
      <c r="I73" s="39" t="str">
        <f>IFERROR(VLOOKUP(H73,[5]Fuentes!$C$5:$D$36,2,FALSE),"")</f>
        <v xml:space="preserve">Rendimientos Financieros – Estampilla Universidad Pedagógica Nacional </v>
      </c>
      <c r="J73" s="511"/>
      <c r="K73" s="513"/>
      <c r="L73" s="498"/>
      <c r="M73" s="456"/>
      <c r="N73" s="515"/>
      <c r="O73" s="517"/>
      <c r="P73" s="29" t="s">
        <v>55</v>
      </c>
      <c r="Q73" s="29" t="s">
        <v>55</v>
      </c>
      <c r="R73" s="454"/>
      <c r="S73" s="29" t="s">
        <v>45</v>
      </c>
      <c r="T73" s="62" t="s">
        <v>99</v>
      </c>
      <c r="U73" s="61">
        <f t="shared" si="6"/>
        <v>80000000</v>
      </c>
      <c r="V73" s="61">
        <f t="shared" si="7"/>
        <v>80000000</v>
      </c>
      <c r="W73" s="63" t="s">
        <v>43</v>
      </c>
      <c r="X73" s="63" t="s">
        <v>46</v>
      </c>
      <c r="Y73" s="13" t="s">
        <v>380</v>
      </c>
      <c r="Z73" s="64" t="s">
        <v>49</v>
      </c>
      <c r="AA73" s="41" t="s">
        <v>71</v>
      </c>
      <c r="AB73" s="6" t="s">
        <v>101</v>
      </c>
      <c r="AC73" s="6" t="s">
        <v>50</v>
      </c>
      <c r="AD73" s="43" t="s">
        <v>43</v>
      </c>
      <c r="AE73" s="43" t="s">
        <v>47</v>
      </c>
      <c r="AF73" s="65" t="s">
        <v>72</v>
      </c>
      <c r="AG73" s="65" t="s">
        <v>73</v>
      </c>
      <c r="AH73" s="65" t="s">
        <v>74</v>
      </c>
      <c r="AI73" s="65" t="s">
        <v>53</v>
      </c>
      <c r="AJ73" s="66" t="s">
        <v>75</v>
      </c>
      <c r="AK73" s="66" t="s">
        <v>76</v>
      </c>
    </row>
    <row r="74" spans="1:37" ht="51" hidden="1">
      <c r="A74" s="2">
        <v>43201</v>
      </c>
      <c r="B74" s="60" t="str">
        <f>IFERROR(VLOOKUP(A74,[5]Listas!A$134:C$147,2,FALSE),"")</f>
        <v>CONSTRUCCIÓN DE LA FACULTAD DE EDUCACIÓN FÍSICA DEL PROYECTO VALMARÍA</v>
      </c>
      <c r="C74" s="20" t="s">
        <v>166</v>
      </c>
      <c r="D74" s="20" t="s">
        <v>167</v>
      </c>
      <c r="E74" s="20" t="s">
        <v>67</v>
      </c>
      <c r="F74" s="20" t="s">
        <v>181</v>
      </c>
      <c r="G74" s="67">
        <v>80000000</v>
      </c>
      <c r="H74" s="20" t="s">
        <v>169</v>
      </c>
      <c r="I74" s="39" t="str">
        <f>IFERROR(VLOOKUP(H74,[5]Fuentes!$C$5:$D$36,2,FALSE),"")</f>
        <v xml:space="preserve">Rendimientos Financieros – Estampilla Universidad Pedagógica Nacional </v>
      </c>
      <c r="J74" s="120" t="s">
        <v>207</v>
      </c>
      <c r="K74" s="121" t="s">
        <v>171</v>
      </c>
      <c r="L74" s="22"/>
      <c r="M74" s="28" t="str">
        <f>"INV-"&amp;A74&amp;"-"&amp;J74</f>
        <v>INV-43201-15</v>
      </c>
      <c r="N74" s="5">
        <v>81101500</v>
      </c>
      <c r="O74" s="125" t="s">
        <v>208</v>
      </c>
      <c r="P74" s="29" t="s">
        <v>55</v>
      </c>
      <c r="Q74" s="29" t="s">
        <v>55</v>
      </c>
      <c r="R74" s="18">
        <v>3</v>
      </c>
      <c r="S74" s="29" t="s">
        <v>45</v>
      </c>
      <c r="T74" s="62" t="s">
        <v>99</v>
      </c>
      <c r="U74" s="94">
        <f t="shared" si="6"/>
        <v>80000000</v>
      </c>
      <c r="V74" s="94">
        <f t="shared" si="7"/>
        <v>80000000</v>
      </c>
      <c r="W74" s="63" t="s">
        <v>43</v>
      </c>
      <c r="X74" s="63" t="s">
        <v>46</v>
      </c>
      <c r="Y74" s="13" t="s">
        <v>380</v>
      </c>
      <c r="Z74" s="64" t="s">
        <v>49</v>
      </c>
      <c r="AA74" s="93" t="s">
        <v>326</v>
      </c>
      <c r="AB74" s="6" t="s">
        <v>101</v>
      </c>
      <c r="AC74" s="6" t="s">
        <v>50</v>
      </c>
      <c r="AD74" s="43" t="s">
        <v>43</v>
      </c>
      <c r="AE74" s="43" t="s">
        <v>47</v>
      </c>
      <c r="AF74" s="65" t="s">
        <v>72</v>
      </c>
      <c r="AG74" s="65" t="s">
        <v>73</v>
      </c>
      <c r="AH74" s="65" t="s">
        <v>74</v>
      </c>
      <c r="AI74" s="65" t="s">
        <v>53</v>
      </c>
      <c r="AJ74" s="66" t="s">
        <v>75</v>
      </c>
      <c r="AK74" s="66" t="s">
        <v>76</v>
      </c>
    </row>
    <row r="75" spans="1:37" ht="51" hidden="1">
      <c r="A75" s="2">
        <v>43201</v>
      </c>
      <c r="B75" s="60" t="str">
        <f>IFERROR(VLOOKUP(A75,[5]Listas!A$134:C$147,2,FALSE),"")</f>
        <v>CONSTRUCCIÓN DE LA FACULTAD DE EDUCACIÓN FÍSICA DEL PROYECTO VALMARÍA</v>
      </c>
      <c r="C75" s="20" t="s">
        <v>166</v>
      </c>
      <c r="D75" s="20" t="s">
        <v>167</v>
      </c>
      <c r="E75" s="20" t="s">
        <v>67</v>
      </c>
      <c r="F75" s="20" t="s">
        <v>168</v>
      </c>
      <c r="G75" s="67">
        <v>1200000000</v>
      </c>
      <c r="H75" s="20" t="s">
        <v>169</v>
      </c>
      <c r="I75" s="39" t="str">
        <f>IFERROR(VLOOKUP(H75,[5]Fuentes!$C$5:$D$36,2,FALSE),"")</f>
        <v xml:space="preserve">Rendimientos Financieros – Estampilla Universidad Pedagógica Nacional </v>
      </c>
      <c r="J75" s="120" t="s">
        <v>209</v>
      </c>
      <c r="K75" s="121" t="s">
        <v>171</v>
      </c>
      <c r="L75" s="22"/>
      <c r="M75" s="28" t="str">
        <f>"INV-"&amp;A75&amp;"-"&amp;J75</f>
        <v>INV-43201-16</v>
      </c>
      <c r="N75" s="5" t="s">
        <v>179</v>
      </c>
      <c r="O75" s="125" t="s">
        <v>210</v>
      </c>
      <c r="P75" s="29" t="s">
        <v>55</v>
      </c>
      <c r="Q75" s="29" t="s">
        <v>55</v>
      </c>
      <c r="R75" s="18">
        <v>5</v>
      </c>
      <c r="S75" s="29" t="s">
        <v>45</v>
      </c>
      <c r="T75" s="62" t="s">
        <v>174</v>
      </c>
      <c r="U75" s="94">
        <f t="shared" si="6"/>
        <v>1200000000</v>
      </c>
      <c r="V75" s="94">
        <f t="shared" si="7"/>
        <v>1200000000</v>
      </c>
      <c r="W75" s="63" t="s">
        <v>43</v>
      </c>
      <c r="X75" s="63" t="s">
        <v>46</v>
      </c>
      <c r="Y75" s="13" t="s">
        <v>380</v>
      </c>
      <c r="Z75" s="64" t="s">
        <v>49</v>
      </c>
      <c r="AA75" s="93" t="s">
        <v>326</v>
      </c>
      <c r="AB75" s="6" t="s">
        <v>101</v>
      </c>
      <c r="AC75" s="6" t="s">
        <v>50</v>
      </c>
      <c r="AD75" s="43" t="s">
        <v>43</v>
      </c>
      <c r="AE75" s="43" t="s">
        <v>47</v>
      </c>
      <c r="AF75" s="65" t="s">
        <v>72</v>
      </c>
      <c r="AG75" s="65" t="s">
        <v>73</v>
      </c>
      <c r="AH75" s="65" t="s">
        <v>74</v>
      </c>
      <c r="AI75" s="65" t="s">
        <v>53</v>
      </c>
      <c r="AJ75" s="66" t="s">
        <v>75</v>
      </c>
      <c r="AK75" s="66" t="s">
        <v>76</v>
      </c>
    </row>
    <row r="76" spans="1:37" ht="51" hidden="1">
      <c r="A76" s="2">
        <v>43201</v>
      </c>
      <c r="B76" s="60" t="str">
        <f>IFERROR(VLOOKUP(A76,[5]Listas!A$134:C$147,2,FALSE),"")</f>
        <v>CONSTRUCCIÓN DE LA FACULTAD DE EDUCACIÓN FÍSICA DEL PROYECTO VALMARÍA</v>
      </c>
      <c r="C76" s="20" t="s">
        <v>166</v>
      </c>
      <c r="D76" s="20" t="s">
        <v>167</v>
      </c>
      <c r="E76" s="20" t="s">
        <v>67</v>
      </c>
      <c r="F76" s="20" t="s">
        <v>181</v>
      </c>
      <c r="G76" s="67">
        <v>90000000</v>
      </c>
      <c r="H76" s="20" t="s">
        <v>169</v>
      </c>
      <c r="I76" s="39" t="str">
        <f>IFERROR(VLOOKUP(H76,[5]Fuentes!$C$5:$D$36,2,FALSE),"")</f>
        <v xml:space="preserve">Rendimientos Financieros – Estampilla Universidad Pedagógica Nacional </v>
      </c>
      <c r="J76" s="120" t="s">
        <v>211</v>
      </c>
      <c r="K76" s="121" t="s">
        <v>171</v>
      </c>
      <c r="L76" s="22"/>
      <c r="M76" s="28" t="str">
        <f>"INV-"&amp;A76&amp;"-"&amp;J76</f>
        <v>INV-43201-17</v>
      </c>
      <c r="N76" s="5">
        <v>81101500</v>
      </c>
      <c r="O76" s="125" t="s">
        <v>212</v>
      </c>
      <c r="P76" s="29" t="s">
        <v>55</v>
      </c>
      <c r="Q76" s="29" t="s">
        <v>55</v>
      </c>
      <c r="R76" s="18">
        <v>2</v>
      </c>
      <c r="S76" s="29" t="s">
        <v>45</v>
      </c>
      <c r="T76" s="62" t="s">
        <v>99</v>
      </c>
      <c r="U76" s="94">
        <f t="shared" si="6"/>
        <v>90000000</v>
      </c>
      <c r="V76" s="94">
        <f t="shared" si="7"/>
        <v>90000000</v>
      </c>
      <c r="W76" s="63" t="s">
        <v>43</v>
      </c>
      <c r="X76" s="63" t="s">
        <v>46</v>
      </c>
      <c r="Y76" s="13" t="s">
        <v>380</v>
      </c>
      <c r="Z76" s="64" t="s">
        <v>49</v>
      </c>
      <c r="AA76" s="93" t="s">
        <v>326</v>
      </c>
      <c r="AB76" s="6" t="s">
        <v>101</v>
      </c>
      <c r="AC76" s="6" t="s">
        <v>50</v>
      </c>
      <c r="AD76" s="43" t="s">
        <v>43</v>
      </c>
      <c r="AE76" s="43" t="s">
        <v>47</v>
      </c>
      <c r="AF76" s="65" t="s">
        <v>72</v>
      </c>
      <c r="AG76" s="65" t="s">
        <v>73</v>
      </c>
      <c r="AH76" s="65" t="s">
        <v>74</v>
      </c>
      <c r="AI76" s="65" t="s">
        <v>53</v>
      </c>
      <c r="AJ76" s="66" t="s">
        <v>75</v>
      </c>
      <c r="AK76" s="66" t="s">
        <v>76</v>
      </c>
    </row>
    <row r="77" spans="1:37" ht="51" hidden="1">
      <c r="A77" s="2">
        <v>43201</v>
      </c>
      <c r="B77" s="60" t="str">
        <f>IFERROR(VLOOKUP(A77,[5]Listas!A$134:C$147,2,FALSE),"")</f>
        <v>CONSTRUCCIÓN DE LA FACULTAD DE EDUCACIÓN FÍSICA DEL PROYECTO VALMARÍA</v>
      </c>
      <c r="C77" s="20" t="s">
        <v>166</v>
      </c>
      <c r="D77" s="20" t="s">
        <v>167</v>
      </c>
      <c r="E77" s="20" t="s">
        <v>67</v>
      </c>
      <c r="F77" s="20" t="s">
        <v>168</v>
      </c>
      <c r="G77" s="67">
        <v>30000000</v>
      </c>
      <c r="H77" s="20" t="s">
        <v>169</v>
      </c>
      <c r="I77" s="39" t="str">
        <f>IFERROR(VLOOKUP(H77,[5]Fuentes!$C$5:$D$36,2,FALSE),"")</f>
        <v xml:space="preserve">Rendimientos Financieros – Estampilla Universidad Pedagógica Nacional </v>
      </c>
      <c r="J77" s="120" t="s">
        <v>213</v>
      </c>
      <c r="K77" s="121" t="s">
        <v>171</v>
      </c>
      <c r="L77" s="22"/>
      <c r="M77" s="28" t="str">
        <f>"INV-"&amp;A77&amp;"-"&amp;J77</f>
        <v>INV-43201-18</v>
      </c>
      <c r="N77" s="5" t="s">
        <v>179</v>
      </c>
      <c r="O77" s="125" t="s">
        <v>214</v>
      </c>
      <c r="P77" s="29" t="s">
        <v>55</v>
      </c>
      <c r="Q77" s="29" t="s">
        <v>55</v>
      </c>
      <c r="R77" s="18">
        <v>5</v>
      </c>
      <c r="S77" s="29" t="s">
        <v>45</v>
      </c>
      <c r="T77" s="62" t="s">
        <v>99</v>
      </c>
      <c r="U77" s="94">
        <f t="shared" si="6"/>
        <v>30000000</v>
      </c>
      <c r="V77" s="94">
        <f t="shared" si="7"/>
        <v>30000000</v>
      </c>
      <c r="W77" s="63" t="s">
        <v>43</v>
      </c>
      <c r="X77" s="63" t="s">
        <v>46</v>
      </c>
      <c r="Y77" s="13" t="s">
        <v>380</v>
      </c>
      <c r="Z77" s="64" t="s">
        <v>49</v>
      </c>
      <c r="AA77" s="93" t="s">
        <v>326</v>
      </c>
      <c r="AB77" s="6" t="s">
        <v>101</v>
      </c>
      <c r="AC77" s="6" t="s">
        <v>50</v>
      </c>
      <c r="AD77" s="43" t="s">
        <v>43</v>
      </c>
      <c r="AE77" s="43" t="s">
        <v>47</v>
      </c>
      <c r="AF77" s="65" t="s">
        <v>72</v>
      </c>
      <c r="AG77" s="65" t="s">
        <v>73</v>
      </c>
      <c r="AH77" s="65" t="s">
        <v>74</v>
      </c>
      <c r="AI77" s="65" t="s">
        <v>53</v>
      </c>
      <c r="AJ77" s="66" t="s">
        <v>75</v>
      </c>
      <c r="AK77" s="66" t="s">
        <v>76</v>
      </c>
    </row>
    <row r="78" spans="1:37" ht="51" hidden="1">
      <c r="A78" s="2">
        <v>43201</v>
      </c>
      <c r="B78" s="60" t="str">
        <f>IFERROR(VLOOKUP(A78,[5]Listas!A$134:C$147,2,FALSE),"")</f>
        <v>CONSTRUCCIÓN DE LA FACULTAD DE EDUCACIÓN FÍSICA DEL PROYECTO VALMARÍA</v>
      </c>
      <c r="C78" s="20" t="s">
        <v>166</v>
      </c>
      <c r="D78" s="20" t="s">
        <v>167</v>
      </c>
      <c r="E78" s="20" t="s">
        <v>67</v>
      </c>
      <c r="F78" s="20" t="s">
        <v>181</v>
      </c>
      <c r="G78" s="67">
        <f>132610240</f>
        <v>132610240</v>
      </c>
      <c r="H78" s="20" t="s">
        <v>169</v>
      </c>
      <c r="I78" s="39" t="str">
        <f>IFERROR(VLOOKUP(H78,[5]Fuentes!$C$5:$D$36,2,FALSE),"")</f>
        <v xml:space="preserve">Rendimientos Financieros – Estampilla Universidad Pedagógica Nacional </v>
      </c>
      <c r="J78" s="120" t="s">
        <v>215</v>
      </c>
      <c r="K78" s="121" t="s">
        <v>171</v>
      </c>
      <c r="L78" s="22"/>
      <c r="M78" s="28" t="str">
        <f>"INV-"&amp;A78&amp;"-"&amp;J78</f>
        <v>INV-43201-19</v>
      </c>
      <c r="N78" s="5">
        <v>77121500</v>
      </c>
      <c r="O78" s="125" t="s">
        <v>216</v>
      </c>
      <c r="P78" s="29" t="s">
        <v>55</v>
      </c>
      <c r="Q78" s="29" t="s">
        <v>55</v>
      </c>
      <c r="R78" s="18">
        <v>11</v>
      </c>
      <c r="S78" s="29" t="s">
        <v>45</v>
      </c>
      <c r="T78" s="62" t="s">
        <v>99</v>
      </c>
      <c r="U78" s="94">
        <f t="shared" si="6"/>
        <v>132610240</v>
      </c>
      <c r="V78" s="94">
        <f t="shared" si="7"/>
        <v>132610240</v>
      </c>
      <c r="W78" s="63" t="s">
        <v>43</v>
      </c>
      <c r="X78" s="63" t="s">
        <v>46</v>
      </c>
      <c r="Y78" s="13" t="s">
        <v>380</v>
      </c>
      <c r="Z78" s="64" t="s">
        <v>49</v>
      </c>
      <c r="AA78" s="93" t="s">
        <v>326</v>
      </c>
      <c r="AB78" s="6" t="s">
        <v>101</v>
      </c>
      <c r="AC78" s="6" t="s">
        <v>50</v>
      </c>
      <c r="AD78" s="43" t="s">
        <v>43</v>
      </c>
      <c r="AE78" s="43" t="s">
        <v>47</v>
      </c>
      <c r="AF78" s="65" t="s">
        <v>72</v>
      </c>
      <c r="AG78" s="65" t="s">
        <v>73</v>
      </c>
      <c r="AH78" s="65" t="s">
        <v>74</v>
      </c>
      <c r="AI78" s="65" t="s">
        <v>53</v>
      </c>
      <c r="AJ78" s="66" t="s">
        <v>75</v>
      </c>
      <c r="AK78" s="66" t="s">
        <v>76</v>
      </c>
    </row>
    <row r="79" spans="1:37" ht="89.25" hidden="1">
      <c r="A79" s="2">
        <v>43201</v>
      </c>
      <c r="B79" s="60" t="str">
        <f>IFERROR(VLOOKUP(A79,[5]Listas!A$134:C$147,2,FALSE),"")</f>
        <v>CONSTRUCCIÓN DE LA FACULTAD DE EDUCACIÓN FÍSICA DEL PROYECTO VALMARÍA</v>
      </c>
      <c r="C79" s="20" t="s">
        <v>166</v>
      </c>
      <c r="D79" s="20" t="s">
        <v>167</v>
      </c>
      <c r="E79" s="20" t="s">
        <v>67</v>
      </c>
      <c r="F79" s="20" t="s">
        <v>181</v>
      </c>
      <c r="G79" s="67">
        <v>72758400</v>
      </c>
      <c r="H79" s="5" t="s">
        <v>169</v>
      </c>
      <c r="I79" s="39" t="str">
        <f>IFERROR(VLOOKUP(H79,[5]Fuentes!$C$5:$D$36,2,FALSE),"")</f>
        <v xml:space="preserve">Rendimientos Financieros – Estampilla Universidad Pedagógica Nacional </v>
      </c>
      <c r="J79" s="120" t="s">
        <v>217</v>
      </c>
      <c r="K79" s="121" t="s">
        <v>171</v>
      </c>
      <c r="L79" s="22"/>
      <c r="M79" s="28" t="str">
        <f t="shared" ref="M79" si="8">"INV-"&amp;A79&amp;"-"&amp;J79</f>
        <v>INV-43201-20</v>
      </c>
      <c r="N79" s="5">
        <v>80111600</v>
      </c>
      <c r="O79" s="125" t="s">
        <v>218</v>
      </c>
      <c r="P79" s="29" t="s">
        <v>55</v>
      </c>
      <c r="Q79" s="29" t="s">
        <v>55</v>
      </c>
      <c r="R79" s="18">
        <v>11</v>
      </c>
      <c r="S79" s="29" t="s">
        <v>45</v>
      </c>
      <c r="T79" s="62" t="s">
        <v>99</v>
      </c>
      <c r="U79" s="94">
        <f t="shared" si="6"/>
        <v>72758400</v>
      </c>
      <c r="V79" s="94">
        <f t="shared" si="7"/>
        <v>72758400</v>
      </c>
      <c r="W79" s="63" t="s">
        <v>43</v>
      </c>
      <c r="X79" s="63" t="s">
        <v>46</v>
      </c>
      <c r="Y79" s="13" t="s">
        <v>380</v>
      </c>
      <c r="Z79" s="64" t="s">
        <v>49</v>
      </c>
      <c r="AA79" s="93" t="s">
        <v>326</v>
      </c>
      <c r="AB79" s="6" t="s">
        <v>101</v>
      </c>
      <c r="AC79" s="6" t="s">
        <v>50</v>
      </c>
      <c r="AD79" s="43" t="s">
        <v>43</v>
      </c>
      <c r="AE79" s="43" t="s">
        <v>47</v>
      </c>
      <c r="AF79" s="65" t="s">
        <v>72</v>
      </c>
      <c r="AG79" s="65" t="s">
        <v>73</v>
      </c>
      <c r="AH79" s="65" t="s">
        <v>74</v>
      </c>
      <c r="AI79" s="65" t="s">
        <v>53</v>
      </c>
      <c r="AJ79" s="66" t="s">
        <v>75</v>
      </c>
      <c r="AK79" s="66" t="s">
        <v>76</v>
      </c>
    </row>
    <row r="80" spans="1:37" ht="76.5" hidden="1">
      <c r="A80" s="2">
        <v>43201</v>
      </c>
      <c r="B80" s="60" t="s">
        <v>432</v>
      </c>
      <c r="C80" s="20" t="s">
        <v>166</v>
      </c>
      <c r="D80" s="20" t="s">
        <v>167</v>
      </c>
      <c r="E80" s="20" t="s">
        <v>67</v>
      </c>
      <c r="F80" s="20" t="s">
        <v>181</v>
      </c>
      <c r="G80" s="67">
        <v>69334650</v>
      </c>
      <c r="H80" s="5" t="s">
        <v>169</v>
      </c>
      <c r="I80" s="39" t="s">
        <v>433</v>
      </c>
      <c r="J80" s="120" t="s">
        <v>261</v>
      </c>
      <c r="K80" s="121" t="s">
        <v>171</v>
      </c>
      <c r="L80" s="22"/>
      <c r="M80" s="28" t="s">
        <v>434</v>
      </c>
      <c r="N80" s="5">
        <v>80111600</v>
      </c>
      <c r="O80" s="125" t="s">
        <v>430</v>
      </c>
      <c r="P80" s="29" t="s">
        <v>55</v>
      </c>
      <c r="Q80" s="29" t="s">
        <v>55</v>
      </c>
      <c r="R80" s="18">
        <v>11</v>
      </c>
      <c r="S80" s="29" t="s">
        <v>45</v>
      </c>
      <c r="T80" s="62" t="s">
        <v>99</v>
      </c>
      <c r="U80" s="94">
        <v>69334650</v>
      </c>
      <c r="V80" s="94">
        <v>69334650</v>
      </c>
      <c r="W80" s="63" t="s">
        <v>43</v>
      </c>
      <c r="X80" s="63" t="s">
        <v>46</v>
      </c>
      <c r="Y80" s="13" t="s">
        <v>431</v>
      </c>
      <c r="Z80" s="64" t="s">
        <v>49</v>
      </c>
      <c r="AA80" s="93" t="s">
        <v>326</v>
      </c>
      <c r="AB80" s="6" t="s">
        <v>101</v>
      </c>
      <c r="AC80" s="6" t="s">
        <v>50</v>
      </c>
      <c r="AD80" s="43" t="s">
        <v>43</v>
      </c>
      <c r="AE80" s="43" t="s">
        <v>47</v>
      </c>
      <c r="AF80" s="65" t="s">
        <v>72</v>
      </c>
      <c r="AG80" s="65" t="s">
        <v>73</v>
      </c>
      <c r="AH80" s="65" t="s">
        <v>74</v>
      </c>
      <c r="AI80" s="65" t="s">
        <v>53</v>
      </c>
      <c r="AJ80" s="66" t="s">
        <v>75</v>
      </c>
      <c r="AK80" s="66" t="s">
        <v>76</v>
      </c>
    </row>
    <row r="81" spans="1:49" s="71" customFormat="1" ht="59.25" hidden="1" customHeight="1">
      <c r="A81" s="26">
        <v>43103</v>
      </c>
      <c r="B81" s="21" t="str">
        <f>IFERROR(VLOOKUP(A81,[8]Listas!$A$91:$B$107,2,FALSE),"")</f>
        <v>GESTIÓN DE BASES DE DATOS E INFRAESTRUCTURA BIBLIOGRÁFICA</v>
      </c>
      <c r="C81" s="26" t="s">
        <v>219</v>
      </c>
      <c r="D81" s="39" t="s">
        <v>220</v>
      </c>
      <c r="E81" s="39" t="s">
        <v>67</v>
      </c>
      <c r="F81" s="27" t="s">
        <v>221</v>
      </c>
      <c r="G81" s="124">
        <v>100000000</v>
      </c>
      <c r="H81" s="18" t="s">
        <v>155</v>
      </c>
      <c r="I81" s="106" t="str">
        <f>IFERROR(VLOOKUP(H81,[8]Listas!$B$124:$C$142,2,FALSE),"")</f>
        <v>Recursos del Balance - Propios</v>
      </c>
      <c r="J81" s="18">
        <v>1</v>
      </c>
      <c r="K81" s="18" t="s">
        <v>47</v>
      </c>
      <c r="L81" s="22"/>
      <c r="M81" s="28" t="str">
        <f>"INV-"&amp;A81&amp;"-"&amp;J81</f>
        <v>INV-43103-1</v>
      </c>
      <c r="N81" s="22" t="s">
        <v>222</v>
      </c>
      <c r="O81" s="52" t="s">
        <v>223</v>
      </c>
      <c r="P81" s="29" t="s">
        <v>120</v>
      </c>
      <c r="Q81" s="29" t="s">
        <v>115</v>
      </c>
      <c r="R81" s="18">
        <v>3</v>
      </c>
      <c r="S81" s="29" t="s">
        <v>439</v>
      </c>
      <c r="T81" s="44" t="s">
        <v>48</v>
      </c>
      <c r="U81" s="95">
        <v>100000000</v>
      </c>
      <c r="V81" s="95">
        <v>100000000</v>
      </c>
      <c r="W81" s="29" t="s">
        <v>47</v>
      </c>
      <c r="X81" s="29" t="s">
        <v>224</v>
      </c>
      <c r="Y81" s="13" t="s">
        <v>380</v>
      </c>
      <c r="Z81" s="69" t="s">
        <v>49</v>
      </c>
      <c r="AA81" s="41" t="s">
        <v>242</v>
      </c>
      <c r="AB81" s="6" t="s">
        <v>101</v>
      </c>
      <c r="AC81" s="6" t="s">
        <v>50</v>
      </c>
      <c r="AD81" s="70" t="s">
        <v>43</v>
      </c>
      <c r="AE81" s="70" t="s">
        <v>43</v>
      </c>
      <c r="AF81" s="65" t="s">
        <v>53</v>
      </c>
      <c r="AG81" s="65" t="s">
        <v>73</v>
      </c>
      <c r="AH81" s="65" t="s">
        <v>74</v>
      </c>
      <c r="AI81" s="65" t="s">
        <v>53</v>
      </c>
      <c r="AJ81" s="66"/>
      <c r="AK81" s="66"/>
    </row>
    <row r="82" spans="1:49" s="71" customFormat="1" ht="59.25" hidden="1" customHeight="1">
      <c r="A82" s="26">
        <v>43103</v>
      </c>
      <c r="B82" s="21" t="str">
        <f>IFERROR(VLOOKUP(A82,[8]Listas!$A$91:$B$107,2,FALSE),"")</f>
        <v>GESTIÓN DE BASES DE DATOS E INFRAESTRUCTURA BIBLIOGRÁFICA</v>
      </c>
      <c r="C82" s="26" t="s">
        <v>219</v>
      </c>
      <c r="D82" s="39" t="s">
        <v>220</v>
      </c>
      <c r="E82" s="39" t="s">
        <v>67</v>
      </c>
      <c r="F82" s="27" t="s">
        <v>221</v>
      </c>
      <c r="G82" s="124">
        <v>144200000</v>
      </c>
      <c r="H82" s="18" t="s">
        <v>155</v>
      </c>
      <c r="I82" s="106" t="str">
        <f>IFERROR(VLOOKUP(H82,[8]Listas!$B$124:$C$142,2,FALSE),"")</f>
        <v>Recursos del Balance - Propios</v>
      </c>
      <c r="J82" s="18">
        <v>2</v>
      </c>
      <c r="K82" s="18" t="s">
        <v>47</v>
      </c>
      <c r="L82" s="22"/>
      <c r="M82" s="28" t="str">
        <f t="shared" ref="M82:M92" si="9">"INV-"&amp;A82&amp;"-"&amp;J82</f>
        <v>INV-43103-2</v>
      </c>
      <c r="N82" s="22" t="s">
        <v>225</v>
      </c>
      <c r="O82" s="52" t="s">
        <v>226</v>
      </c>
      <c r="P82" s="29" t="s">
        <v>55</v>
      </c>
      <c r="Q82" s="29" t="s">
        <v>115</v>
      </c>
      <c r="R82" s="18">
        <v>12</v>
      </c>
      <c r="S82" s="29" t="s">
        <v>45</v>
      </c>
      <c r="T82" s="44" t="s">
        <v>48</v>
      </c>
      <c r="U82" s="95">
        <v>144200000</v>
      </c>
      <c r="V82" s="95">
        <v>144200000</v>
      </c>
      <c r="W82" s="29" t="s">
        <v>43</v>
      </c>
      <c r="X82" s="29" t="s">
        <v>46</v>
      </c>
      <c r="Y82" s="13" t="s">
        <v>380</v>
      </c>
      <c r="Z82" s="69" t="s">
        <v>49</v>
      </c>
      <c r="AA82" s="41" t="s">
        <v>242</v>
      </c>
      <c r="AB82" s="6" t="s">
        <v>101</v>
      </c>
      <c r="AC82" s="6" t="s">
        <v>50</v>
      </c>
      <c r="AD82" s="70" t="s">
        <v>43</v>
      </c>
      <c r="AE82" s="70" t="s">
        <v>43</v>
      </c>
      <c r="AF82" s="65" t="s">
        <v>53</v>
      </c>
      <c r="AG82" s="65" t="s">
        <v>73</v>
      </c>
      <c r="AH82" s="65" t="s">
        <v>74</v>
      </c>
      <c r="AI82" s="65" t="s">
        <v>53</v>
      </c>
      <c r="AJ82" s="66"/>
      <c r="AK82" s="66"/>
    </row>
    <row r="83" spans="1:49" s="71" customFormat="1" ht="59.25" hidden="1" customHeight="1">
      <c r="A83" s="26">
        <v>43103</v>
      </c>
      <c r="B83" s="21" t="str">
        <f>IFERROR(VLOOKUP(A83,[8]Listas!$A$91:$B$107,2,FALSE),"")</f>
        <v>GESTIÓN DE BASES DE DATOS E INFRAESTRUCTURA BIBLIOGRÁFICA</v>
      </c>
      <c r="C83" s="26" t="s">
        <v>219</v>
      </c>
      <c r="D83" s="39" t="s">
        <v>220</v>
      </c>
      <c r="E83" s="39" t="s">
        <v>67</v>
      </c>
      <c r="F83" s="27" t="s">
        <v>221</v>
      </c>
      <c r="G83" s="124">
        <v>168500000</v>
      </c>
      <c r="H83" s="18" t="s">
        <v>227</v>
      </c>
      <c r="I83" s="106" t="str">
        <f>IFERROR(VLOOKUP(H83,[8]Listas!$B$124:$C$142,2,FALSE),"")</f>
        <v>Rendimientos PFC-SUE</v>
      </c>
      <c r="J83" s="18">
        <v>3</v>
      </c>
      <c r="K83" s="18" t="s">
        <v>47</v>
      </c>
      <c r="L83" s="22"/>
      <c r="M83" s="28" t="str">
        <f t="shared" si="9"/>
        <v>INV-43103-3</v>
      </c>
      <c r="N83" s="22" t="s">
        <v>225</v>
      </c>
      <c r="O83" s="52" t="s">
        <v>228</v>
      </c>
      <c r="P83" s="29" t="s">
        <v>55</v>
      </c>
      <c r="Q83" s="29" t="s">
        <v>115</v>
      </c>
      <c r="R83" s="18">
        <v>12</v>
      </c>
      <c r="S83" s="29" t="s">
        <v>45</v>
      </c>
      <c r="T83" s="44" t="s">
        <v>48</v>
      </c>
      <c r="U83" s="95">
        <v>168500000</v>
      </c>
      <c r="V83" s="95">
        <v>168500000</v>
      </c>
      <c r="W83" s="29" t="s">
        <v>43</v>
      </c>
      <c r="X83" s="29" t="s">
        <v>46</v>
      </c>
      <c r="Y83" s="13" t="s">
        <v>380</v>
      </c>
      <c r="Z83" s="69" t="s">
        <v>49</v>
      </c>
      <c r="AA83" s="41" t="s">
        <v>242</v>
      </c>
      <c r="AB83" s="6" t="s">
        <v>101</v>
      </c>
      <c r="AC83" s="6" t="s">
        <v>50</v>
      </c>
      <c r="AD83" s="70" t="s">
        <v>43</v>
      </c>
      <c r="AE83" s="70" t="s">
        <v>43</v>
      </c>
      <c r="AF83" s="65" t="s">
        <v>53</v>
      </c>
      <c r="AG83" s="65" t="s">
        <v>73</v>
      </c>
      <c r="AH83" s="65" t="s">
        <v>74</v>
      </c>
      <c r="AI83" s="65" t="s">
        <v>53</v>
      </c>
      <c r="AJ83" s="66"/>
      <c r="AK83" s="66"/>
    </row>
    <row r="84" spans="1:49" s="71" customFormat="1" ht="59.25" hidden="1" customHeight="1">
      <c r="A84" s="26">
        <v>43103</v>
      </c>
      <c r="B84" s="21" t="str">
        <f>IFERROR(VLOOKUP(A84,[8]Listas!$A$91:$B$107,2,FALSE),"")</f>
        <v>GESTIÓN DE BASES DE DATOS E INFRAESTRUCTURA BIBLIOGRÁFICA</v>
      </c>
      <c r="C84" s="26" t="s">
        <v>219</v>
      </c>
      <c r="D84" s="39" t="s">
        <v>220</v>
      </c>
      <c r="E84" s="39" t="s">
        <v>67</v>
      </c>
      <c r="F84" s="27" t="s">
        <v>221</v>
      </c>
      <c r="G84" s="124">
        <v>136400000</v>
      </c>
      <c r="H84" s="18" t="s">
        <v>227</v>
      </c>
      <c r="I84" s="106" t="str">
        <f>IFERROR(VLOOKUP(H84,[8]Listas!$B$124:$C$142,2,FALSE),"")</f>
        <v>Rendimientos PFC-SUE</v>
      </c>
      <c r="J84" s="18">
        <v>4</v>
      </c>
      <c r="K84" s="18" t="s">
        <v>47</v>
      </c>
      <c r="L84" s="22"/>
      <c r="M84" s="28" t="str">
        <f t="shared" si="9"/>
        <v>INV-43103-4</v>
      </c>
      <c r="N84" s="22" t="s">
        <v>225</v>
      </c>
      <c r="O84" s="52" t="s">
        <v>229</v>
      </c>
      <c r="P84" s="29" t="s">
        <v>55</v>
      </c>
      <c r="Q84" s="29" t="s">
        <v>115</v>
      </c>
      <c r="R84" s="18">
        <v>12</v>
      </c>
      <c r="S84" s="29" t="s">
        <v>45</v>
      </c>
      <c r="T84" s="44" t="s">
        <v>48</v>
      </c>
      <c r="U84" s="96">
        <v>136400000</v>
      </c>
      <c r="V84" s="96">
        <v>136400000</v>
      </c>
      <c r="W84" s="29" t="s">
        <v>43</v>
      </c>
      <c r="X84" s="29" t="s">
        <v>46</v>
      </c>
      <c r="Y84" s="13" t="s">
        <v>380</v>
      </c>
      <c r="Z84" s="69" t="s">
        <v>49</v>
      </c>
      <c r="AA84" s="41" t="s">
        <v>242</v>
      </c>
      <c r="AB84" s="6" t="s">
        <v>101</v>
      </c>
      <c r="AC84" s="6" t="s">
        <v>50</v>
      </c>
      <c r="AD84" s="70" t="s">
        <v>43</v>
      </c>
      <c r="AE84" s="70" t="s">
        <v>43</v>
      </c>
      <c r="AF84" s="65" t="s">
        <v>53</v>
      </c>
      <c r="AG84" s="65" t="s">
        <v>73</v>
      </c>
      <c r="AH84" s="65" t="s">
        <v>74</v>
      </c>
      <c r="AI84" s="65" t="s">
        <v>53</v>
      </c>
      <c r="AJ84" s="66"/>
      <c r="AK84" s="66"/>
    </row>
    <row r="85" spans="1:49" s="71" customFormat="1" ht="81.75" hidden="1" customHeight="1">
      <c r="A85" s="26">
        <v>43103</v>
      </c>
      <c r="B85" s="21" t="str">
        <f>IFERROR(VLOOKUP(A85,[8]Listas!$A$91:$B$107,2,FALSE),"")</f>
        <v>GESTIÓN DE BASES DE DATOS E INFRAESTRUCTURA BIBLIOGRÁFICA</v>
      </c>
      <c r="C85" s="26" t="s">
        <v>219</v>
      </c>
      <c r="D85" s="39" t="s">
        <v>220</v>
      </c>
      <c r="E85" s="39" t="s">
        <v>67</v>
      </c>
      <c r="F85" s="27" t="s">
        <v>221</v>
      </c>
      <c r="G85" s="124">
        <v>8000000</v>
      </c>
      <c r="H85" s="18" t="s">
        <v>155</v>
      </c>
      <c r="I85" s="106" t="str">
        <f>IFERROR(VLOOKUP(H85,[8]Listas!$B$124:$C$142,2,FALSE),"")</f>
        <v>Recursos del Balance - Propios</v>
      </c>
      <c r="J85" s="18">
        <v>5</v>
      </c>
      <c r="K85" s="18" t="s">
        <v>47</v>
      </c>
      <c r="L85" s="22"/>
      <c r="M85" s="28" t="str">
        <f t="shared" si="9"/>
        <v>INV-43103-5</v>
      </c>
      <c r="N85" s="22" t="s">
        <v>225</v>
      </c>
      <c r="O85" s="52" t="s">
        <v>230</v>
      </c>
      <c r="P85" s="29" t="s">
        <v>55</v>
      </c>
      <c r="Q85" s="29" t="s">
        <v>120</v>
      </c>
      <c r="R85" s="18">
        <v>12</v>
      </c>
      <c r="S85" s="29" t="s">
        <v>45</v>
      </c>
      <c r="T85" s="44" t="s">
        <v>48</v>
      </c>
      <c r="U85" s="96">
        <v>8000000</v>
      </c>
      <c r="V85" s="96">
        <v>8000000</v>
      </c>
      <c r="W85" s="29" t="s">
        <v>43</v>
      </c>
      <c r="X85" s="29" t="s">
        <v>46</v>
      </c>
      <c r="Y85" s="13" t="s">
        <v>380</v>
      </c>
      <c r="Z85" s="69" t="s">
        <v>49</v>
      </c>
      <c r="AA85" s="41" t="s">
        <v>242</v>
      </c>
      <c r="AB85" s="6" t="s">
        <v>101</v>
      </c>
      <c r="AC85" s="6" t="s">
        <v>50</v>
      </c>
      <c r="AD85" s="70" t="s">
        <v>43</v>
      </c>
      <c r="AE85" s="70" t="s">
        <v>43</v>
      </c>
      <c r="AF85" s="65" t="s">
        <v>53</v>
      </c>
      <c r="AG85" s="65" t="s">
        <v>73</v>
      </c>
      <c r="AH85" s="65" t="s">
        <v>74</v>
      </c>
      <c r="AI85" s="65" t="s">
        <v>53</v>
      </c>
      <c r="AJ85" s="66"/>
      <c r="AK85" s="66"/>
    </row>
    <row r="86" spans="1:49" s="71" customFormat="1" ht="59.25" hidden="1" customHeight="1">
      <c r="A86" s="26">
        <v>43103</v>
      </c>
      <c r="B86" s="21" t="str">
        <f>IFERROR(VLOOKUP(A86,[8]Listas!$A$91:$B$107,2,FALSE),"")</f>
        <v>GESTIÓN DE BASES DE DATOS E INFRAESTRUCTURA BIBLIOGRÁFICA</v>
      </c>
      <c r="C86" s="26" t="s">
        <v>219</v>
      </c>
      <c r="D86" s="39" t="s">
        <v>220</v>
      </c>
      <c r="E86" s="39" t="s">
        <v>67</v>
      </c>
      <c r="F86" s="27" t="s">
        <v>221</v>
      </c>
      <c r="G86" s="124">
        <v>7300000</v>
      </c>
      <c r="H86" s="18" t="s">
        <v>155</v>
      </c>
      <c r="I86" s="106" t="str">
        <f>IFERROR(VLOOKUP(H86,[8]Listas!$B$124:$C$142,2,FALSE),"")</f>
        <v>Recursos del Balance - Propios</v>
      </c>
      <c r="J86" s="18">
        <v>6</v>
      </c>
      <c r="K86" s="18" t="s">
        <v>47</v>
      </c>
      <c r="L86" s="22"/>
      <c r="M86" s="28" t="str">
        <f t="shared" si="9"/>
        <v>INV-43103-6</v>
      </c>
      <c r="N86" s="22" t="s">
        <v>225</v>
      </c>
      <c r="O86" s="52" t="s">
        <v>231</v>
      </c>
      <c r="P86" s="29" t="s">
        <v>51</v>
      </c>
      <c r="Q86" s="29" t="s">
        <v>78</v>
      </c>
      <c r="R86" s="18">
        <v>12</v>
      </c>
      <c r="S86" s="29" t="s">
        <v>45</v>
      </c>
      <c r="T86" s="44" t="s">
        <v>48</v>
      </c>
      <c r="U86" s="96">
        <v>7300000</v>
      </c>
      <c r="V86" s="96">
        <v>7300000</v>
      </c>
      <c r="W86" s="29" t="s">
        <v>43</v>
      </c>
      <c r="X86" s="29" t="s">
        <v>46</v>
      </c>
      <c r="Y86" s="13" t="s">
        <v>380</v>
      </c>
      <c r="Z86" s="69" t="s">
        <v>49</v>
      </c>
      <c r="AA86" s="41" t="s">
        <v>242</v>
      </c>
      <c r="AB86" s="6" t="s">
        <v>101</v>
      </c>
      <c r="AC86" s="6" t="s">
        <v>50</v>
      </c>
      <c r="AD86" s="70" t="s">
        <v>43</v>
      </c>
      <c r="AE86" s="70" t="s">
        <v>43</v>
      </c>
      <c r="AF86" s="65" t="s">
        <v>53</v>
      </c>
      <c r="AG86" s="65" t="s">
        <v>73</v>
      </c>
      <c r="AH86" s="65" t="s">
        <v>74</v>
      </c>
      <c r="AI86" s="65" t="s">
        <v>53</v>
      </c>
      <c r="AJ86" s="66"/>
      <c r="AK86" s="66"/>
    </row>
    <row r="87" spans="1:49" s="71" customFormat="1" ht="59.25" hidden="1" customHeight="1">
      <c r="A87" s="26">
        <v>43103</v>
      </c>
      <c r="B87" s="21" t="str">
        <f>IFERROR(VLOOKUP(A87,[8]Listas!$A$91:$B$107,2,FALSE),"")</f>
        <v>GESTIÓN DE BASES DE DATOS E INFRAESTRUCTURA BIBLIOGRÁFICA</v>
      </c>
      <c r="C87" s="26" t="s">
        <v>219</v>
      </c>
      <c r="D87" s="39" t="s">
        <v>220</v>
      </c>
      <c r="E87" s="39" t="s">
        <v>67</v>
      </c>
      <c r="F87" s="27" t="s">
        <v>221</v>
      </c>
      <c r="G87" s="124">
        <v>18800000</v>
      </c>
      <c r="H87" s="18" t="s">
        <v>227</v>
      </c>
      <c r="I87" s="106" t="str">
        <f>IFERROR(VLOOKUP(H87,[8]Listas!$B$124:$C$142,2,FALSE),"")</f>
        <v>Rendimientos PFC-SUE</v>
      </c>
      <c r="J87" s="18">
        <v>7</v>
      </c>
      <c r="K87" s="18" t="s">
        <v>47</v>
      </c>
      <c r="L87" s="22"/>
      <c r="M87" s="28" t="str">
        <f t="shared" si="9"/>
        <v>INV-43103-7</v>
      </c>
      <c r="N87" s="22" t="s">
        <v>225</v>
      </c>
      <c r="O87" s="52" t="s">
        <v>232</v>
      </c>
      <c r="P87" s="29" t="s">
        <v>51</v>
      </c>
      <c r="Q87" s="29" t="s">
        <v>78</v>
      </c>
      <c r="R87" s="18">
        <v>12</v>
      </c>
      <c r="S87" s="29" t="s">
        <v>45</v>
      </c>
      <c r="T87" s="44" t="s">
        <v>48</v>
      </c>
      <c r="U87" s="96">
        <v>18800000</v>
      </c>
      <c r="V87" s="96">
        <v>18800000</v>
      </c>
      <c r="W87" s="29" t="s">
        <v>43</v>
      </c>
      <c r="X87" s="29" t="s">
        <v>46</v>
      </c>
      <c r="Y87" s="13" t="s">
        <v>380</v>
      </c>
      <c r="Z87" s="69" t="s">
        <v>49</v>
      </c>
      <c r="AA87" s="41" t="s">
        <v>242</v>
      </c>
      <c r="AB87" s="6" t="s">
        <v>101</v>
      </c>
      <c r="AC87" s="6" t="s">
        <v>50</v>
      </c>
      <c r="AD87" s="70" t="s">
        <v>43</v>
      </c>
      <c r="AE87" s="70" t="s">
        <v>43</v>
      </c>
      <c r="AF87" s="65" t="s">
        <v>53</v>
      </c>
      <c r="AG87" s="65" t="s">
        <v>73</v>
      </c>
      <c r="AH87" s="65" t="s">
        <v>74</v>
      </c>
      <c r="AI87" s="65" t="s">
        <v>53</v>
      </c>
      <c r="AJ87" s="66"/>
      <c r="AK87" s="66"/>
    </row>
    <row r="88" spans="1:49" s="71" customFormat="1" ht="59.25" hidden="1" customHeight="1">
      <c r="A88" s="26">
        <v>43103</v>
      </c>
      <c r="B88" s="21" t="str">
        <f>IFERROR(VLOOKUP(A88,[8]Listas!$A$91:$B$107,2,FALSE),"")</f>
        <v>GESTIÓN DE BASES DE DATOS E INFRAESTRUCTURA BIBLIOGRÁFICA</v>
      </c>
      <c r="C88" s="26" t="s">
        <v>219</v>
      </c>
      <c r="D88" s="39" t="s">
        <v>220</v>
      </c>
      <c r="E88" s="39" t="s">
        <v>67</v>
      </c>
      <c r="F88" s="27" t="s">
        <v>221</v>
      </c>
      <c r="G88" s="124">
        <v>36600000</v>
      </c>
      <c r="H88" s="18" t="s">
        <v>227</v>
      </c>
      <c r="I88" s="106" t="str">
        <f>IFERROR(VLOOKUP(H88,[8]Listas!$B$124:$C$142,2,FALSE),"")</f>
        <v>Rendimientos PFC-SUE</v>
      </c>
      <c r="J88" s="18">
        <v>8</v>
      </c>
      <c r="K88" s="18" t="s">
        <v>47</v>
      </c>
      <c r="L88" s="22"/>
      <c r="M88" s="28" t="str">
        <f t="shared" si="9"/>
        <v>INV-43103-8</v>
      </c>
      <c r="N88" s="22" t="s">
        <v>225</v>
      </c>
      <c r="O88" s="52" t="s">
        <v>233</v>
      </c>
      <c r="P88" s="29" t="s">
        <v>52</v>
      </c>
      <c r="Q88" s="29" t="s">
        <v>78</v>
      </c>
      <c r="R88" s="18">
        <v>12</v>
      </c>
      <c r="S88" s="29" t="s">
        <v>45</v>
      </c>
      <c r="T88" s="44" t="s">
        <v>48</v>
      </c>
      <c r="U88" s="96">
        <v>36600000</v>
      </c>
      <c r="V88" s="96">
        <v>36600000</v>
      </c>
      <c r="W88" s="29" t="s">
        <v>43</v>
      </c>
      <c r="X88" s="29" t="s">
        <v>46</v>
      </c>
      <c r="Y88" s="13" t="s">
        <v>380</v>
      </c>
      <c r="Z88" s="69" t="s">
        <v>49</v>
      </c>
      <c r="AA88" s="41" t="s">
        <v>242</v>
      </c>
      <c r="AB88" s="6" t="s">
        <v>101</v>
      </c>
      <c r="AC88" s="6" t="s">
        <v>50</v>
      </c>
      <c r="AD88" s="70" t="s">
        <v>43</v>
      </c>
      <c r="AE88" s="70" t="s">
        <v>43</v>
      </c>
      <c r="AF88" s="65" t="s">
        <v>53</v>
      </c>
      <c r="AG88" s="65" t="s">
        <v>73</v>
      </c>
      <c r="AH88" s="65" t="s">
        <v>74</v>
      </c>
      <c r="AI88" s="65" t="s">
        <v>53</v>
      </c>
      <c r="AJ88" s="66"/>
      <c r="AK88" s="66"/>
    </row>
    <row r="89" spans="1:49" s="71" customFormat="1" ht="117" hidden="1" customHeight="1">
      <c r="A89" s="26">
        <v>43103</v>
      </c>
      <c r="B89" s="21" t="str">
        <f>IFERROR(VLOOKUP(A89,[8]Listas!$A$91:$B$107,2,FALSE),"")</f>
        <v>GESTIÓN DE BASES DE DATOS E INFRAESTRUCTURA BIBLIOGRÁFICA</v>
      </c>
      <c r="C89" s="26" t="s">
        <v>219</v>
      </c>
      <c r="D89" s="39" t="s">
        <v>220</v>
      </c>
      <c r="E89" s="39" t="s">
        <v>67</v>
      </c>
      <c r="F89" s="27" t="s">
        <v>221</v>
      </c>
      <c r="G89" s="124">
        <v>8500000</v>
      </c>
      <c r="H89" s="18" t="s">
        <v>155</v>
      </c>
      <c r="I89" s="106" t="str">
        <f>IFERROR(VLOOKUP(H89,[8]Listas!$B$124:$C$142,2,FALSE),"")</f>
        <v>Recursos del Balance - Propios</v>
      </c>
      <c r="J89" s="18">
        <v>9</v>
      </c>
      <c r="K89" s="18" t="s">
        <v>47</v>
      </c>
      <c r="L89" s="22"/>
      <c r="M89" s="28" t="str">
        <f t="shared" si="9"/>
        <v>INV-43103-9</v>
      </c>
      <c r="N89" s="22" t="s">
        <v>225</v>
      </c>
      <c r="O89" s="52" t="s">
        <v>234</v>
      </c>
      <c r="P89" s="29" t="s">
        <v>78</v>
      </c>
      <c r="Q89" s="29" t="s">
        <v>163</v>
      </c>
      <c r="R89" s="18">
        <v>12</v>
      </c>
      <c r="S89" s="29" t="s">
        <v>45</v>
      </c>
      <c r="T89" s="44" t="s">
        <v>48</v>
      </c>
      <c r="U89" s="96">
        <v>8500000</v>
      </c>
      <c r="V89" s="96">
        <v>8500000</v>
      </c>
      <c r="W89" s="29" t="s">
        <v>43</v>
      </c>
      <c r="X89" s="29" t="s">
        <v>46</v>
      </c>
      <c r="Y89" s="13" t="s">
        <v>380</v>
      </c>
      <c r="Z89" s="69" t="s">
        <v>49</v>
      </c>
      <c r="AA89" s="41" t="s">
        <v>242</v>
      </c>
      <c r="AB89" s="6" t="s">
        <v>101</v>
      </c>
      <c r="AC89" s="6" t="s">
        <v>50</v>
      </c>
      <c r="AD89" s="70" t="s">
        <v>43</v>
      </c>
      <c r="AE89" s="70" t="s">
        <v>43</v>
      </c>
      <c r="AF89" s="65" t="s">
        <v>53</v>
      </c>
      <c r="AG89" s="65" t="s">
        <v>73</v>
      </c>
      <c r="AH89" s="65" t="s">
        <v>74</v>
      </c>
      <c r="AI89" s="65" t="s">
        <v>53</v>
      </c>
      <c r="AJ89" s="66"/>
      <c r="AK89" s="66"/>
    </row>
    <row r="90" spans="1:49" s="71" customFormat="1" ht="42" hidden="1" customHeight="1">
      <c r="A90" s="453">
        <v>43103</v>
      </c>
      <c r="B90" s="503" t="str">
        <f>IFERROR(VLOOKUP(A90,[8]Listas!$A$91:$B$107,2,FALSE),"")</f>
        <v>GESTIÓN DE BASES DE DATOS E INFRAESTRUCTURA BIBLIOGRÁFICA</v>
      </c>
      <c r="C90" s="453" t="s">
        <v>219</v>
      </c>
      <c r="D90" s="505" t="s">
        <v>220</v>
      </c>
      <c r="E90" s="505" t="s">
        <v>67</v>
      </c>
      <c r="F90" s="497" t="s">
        <v>221</v>
      </c>
      <c r="G90" s="124">
        <v>4602242</v>
      </c>
      <c r="H90" s="18" t="s">
        <v>227</v>
      </c>
      <c r="I90" s="106" t="str">
        <f>IFERROR(VLOOKUP(H90,[8]Listas!$B$124:$C$142,2,FALSE),"")</f>
        <v>Rendimientos PFC-SUE</v>
      </c>
      <c r="J90" s="453">
        <v>10</v>
      </c>
      <c r="K90" s="453" t="s">
        <v>47</v>
      </c>
      <c r="L90" s="22"/>
      <c r="M90" s="455" t="str">
        <f t="shared" si="9"/>
        <v>INV-43103-10</v>
      </c>
      <c r="N90" s="497" t="s">
        <v>225</v>
      </c>
      <c r="O90" s="508" t="s">
        <v>235</v>
      </c>
      <c r="P90" s="462" t="s">
        <v>78</v>
      </c>
      <c r="Q90" s="462" t="s">
        <v>163</v>
      </c>
      <c r="R90" s="453">
        <v>12</v>
      </c>
      <c r="S90" s="462" t="s">
        <v>45</v>
      </c>
      <c r="T90" s="479" t="s">
        <v>48</v>
      </c>
      <c r="U90" s="482">
        <v>35150000</v>
      </c>
      <c r="V90" s="482">
        <v>35150000</v>
      </c>
      <c r="W90" s="462" t="s">
        <v>43</v>
      </c>
      <c r="X90" s="462" t="s">
        <v>46</v>
      </c>
      <c r="Y90" s="13" t="s">
        <v>380</v>
      </c>
      <c r="Z90" s="464" t="s">
        <v>49</v>
      </c>
      <c r="AA90" s="466" t="s">
        <v>242</v>
      </c>
      <c r="AB90" s="6" t="s">
        <v>101</v>
      </c>
      <c r="AC90" s="6" t="s">
        <v>50</v>
      </c>
      <c r="AD90" s="460" t="s">
        <v>43</v>
      </c>
      <c r="AE90" s="460" t="s">
        <v>43</v>
      </c>
      <c r="AF90" s="458" t="s">
        <v>53</v>
      </c>
      <c r="AG90" s="458" t="s">
        <v>73</v>
      </c>
      <c r="AH90" s="458" t="s">
        <v>74</v>
      </c>
      <c r="AI90" s="458" t="s">
        <v>53</v>
      </c>
      <c r="AJ90" s="458"/>
      <c r="AK90" s="458"/>
    </row>
    <row r="91" spans="1:49" s="71" customFormat="1" ht="42" hidden="1" customHeight="1">
      <c r="A91" s="454"/>
      <c r="B91" s="504"/>
      <c r="C91" s="454"/>
      <c r="D91" s="506"/>
      <c r="E91" s="506"/>
      <c r="F91" s="498"/>
      <c r="G91" s="124">
        <v>30547758</v>
      </c>
      <c r="H91" s="18" t="s">
        <v>155</v>
      </c>
      <c r="I91" s="106" t="str">
        <f>IFERROR(VLOOKUP(H91,[8]Listas!$B$124:$C$142,2,FALSE),"")</f>
        <v>Recursos del Balance - Propios</v>
      </c>
      <c r="J91" s="454"/>
      <c r="K91" s="454"/>
      <c r="L91" s="22"/>
      <c r="M91" s="456"/>
      <c r="N91" s="498"/>
      <c r="O91" s="509"/>
      <c r="P91" s="463"/>
      <c r="Q91" s="463"/>
      <c r="R91" s="454"/>
      <c r="S91" s="463"/>
      <c r="T91" s="480"/>
      <c r="U91" s="483"/>
      <c r="V91" s="483"/>
      <c r="W91" s="463"/>
      <c r="X91" s="463"/>
      <c r="Y91" s="13" t="s">
        <v>380</v>
      </c>
      <c r="Z91" s="465"/>
      <c r="AA91" s="467"/>
      <c r="AB91" s="6" t="s">
        <v>101</v>
      </c>
      <c r="AC91" s="6" t="s">
        <v>50</v>
      </c>
      <c r="AD91" s="461"/>
      <c r="AE91" s="461"/>
      <c r="AF91" s="459"/>
      <c r="AG91" s="459"/>
      <c r="AH91" s="459"/>
      <c r="AI91" s="459"/>
      <c r="AJ91" s="459"/>
      <c r="AK91" s="459"/>
    </row>
    <row r="92" spans="1:49" s="71" customFormat="1" ht="71.25" hidden="1" customHeight="1">
      <c r="A92" s="26">
        <v>43103</v>
      </c>
      <c r="B92" s="21" t="str">
        <f>IFERROR(VLOOKUP(A92,[8]Listas!$A$91:$B$107,2,FALSE),"")</f>
        <v>GESTIÓN DE BASES DE DATOS E INFRAESTRUCTURA BIBLIOGRÁFICA</v>
      </c>
      <c r="C92" s="27" t="s">
        <v>236</v>
      </c>
      <c r="D92" s="21" t="s">
        <v>220</v>
      </c>
      <c r="E92" s="21" t="s">
        <v>67</v>
      </c>
      <c r="F92" s="27" t="s">
        <v>237</v>
      </c>
      <c r="G92" s="124">
        <v>150000000</v>
      </c>
      <c r="H92" s="18" t="s">
        <v>155</v>
      </c>
      <c r="I92" s="106" t="str">
        <f>IFERROR(VLOOKUP(H92,[8]Listas!$B$124:$C$142,2,FALSE),"")</f>
        <v>Recursos del Balance - Propios</v>
      </c>
      <c r="J92" s="18">
        <v>11</v>
      </c>
      <c r="K92" s="18" t="s">
        <v>47</v>
      </c>
      <c r="L92" s="22"/>
      <c r="M92" s="28" t="str">
        <f t="shared" si="9"/>
        <v>INV-43103-11</v>
      </c>
      <c r="N92" s="22" t="s">
        <v>238</v>
      </c>
      <c r="O92" s="52" t="s">
        <v>239</v>
      </c>
      <c r="P92" s="29" t="s">
        <v>52</v>
      </c>
      <c r="Q92" s="100" t="s">
        <v>240</v>
      </c>
      <c r="R92" s="18">
        <v>9</v>
      </c>
      <c r="S92" s="29" t="s">
        <v>45</v>
      </c>
      <c r="T92" s="44" t="s">
        <v>48</v>
      </c>
      <c r="U92" s="95">
        <v>150000000</v>
      </c>
      <c r="V92" s="95">
        <v>150000000</v>
      </c>
      <c r="W92" s="29" t="s">
        <v>43</v>
      </c>
      <c r="X92" s="29" t="s">
        <v>46</v>
      </c>
      <c r="Y92" s="13" t="s">
        <v>380</v>
      </c>
      <c r="Z92" s="72" t="s">
        <v>49</v>
      </c>
      <c r="AA92" s="41" t="s">
        <v>242</v>
      </c>
      <c r="AB92" s="6" t="s">
        <v>101</v>
      </c>
      <c r="AC92" s="6" t="s">
        <v>50</v>
      </c>
      <c r="AD92" s="63" t="s">
        <v>43</v>
      </c>
      <c r="AE92" s="63" t="s">
        <v>43</v>
      </c>
      <c r="AF92" s="65" t="s">
        <v>53</v>
      </c>
      <c r="AG92" s="65" t="s">
        <v>73</v>
      </c>
      <c r="AH92" s="65" t="s">
        <v>74</v>
      </c>
      <c r="AI92" s="65" t="s">
        <v>53</v>
      </c>
      <c r="AJ92" s="66"/>
      <c r="AK92" s="66"/>
    </row>
    <row r="93" spans="1:49" customFormat="1" ht="67.5" hidden="1">
      <c r="A93" s="256">
        <v>44102</v>
      </c>
      <c r="B93" s="304" t="str">
        <f>IFERROR(VLOOKUP(A93,[9]Listas!$A$91:$B$107,2,FALSE),"")</f>
        <v>FORTALECIMIENTO DEL ACCESO, LA PERMANENCIA Y LA CALIDAD DE LA EDUCACIÓN SUPERIOR UPN-ATENEA</v>
      </c>
      <c r="C93" s="310" t="s">
        <v>241</v>
      </c>
      <c r="D93" s="252" t="s">
        <v>242</v>
      </c>
      <c r="E93" s="252" t="s">
        <v>243</v>
      </c>
      <c r="F93" s="252" t="s">
        <v>244</v>
      </c>
      <c r="G93" s="349">
        <v>171925494</v>
      </c>
      <c r="H93" s="256">
        <v>20.07</v>
      </c>
      <c r="I93" s="243" t="str">
        <f>IFERROR(VLOOKUP(H93,[9]Listas!$B$124:$C$142,2,FALSE),"")</f>
        <v>Recursos Propios - Atenea</v>
      </c>
      <c r="J93" s="350" t="s">
        <v>170</v>
      </c>
      <c r="K93" s="351" t="s">
        <v>43</v>
      </c>
      <c r="L93" s="303"/>
      <c r="M93" s="270" t="str">
        <f>"INV-"&amp;A93&amp;"-"&amp;J93</f>
        <v>INV-44102-1</v>
      </c>
      <c r="N93" s="352" t="s">
        <v>70</v>
      </c>
      <c r="O93" s="353" t="s">
        <v>245</v>
      </c>
      <c r="P93" s="244" t="s">
        <v>51</v>
      </c>
      <c r="Q93" s="244" t="s">
        <v>52</v>
      </c>
      <c r="R93" s="354">
        <v>4</v>
      </c>
      <c r="S93" s="244" t="s">
        <v>45</v>
      </c>
      <c r="T93" s="355" t="s">
        <v>70</v>
      </c>
      <c r="U93" s="356">
        <f>+G93</f>
        <v>171925494</v>
      </c>
      <c r="V93" s="356">
        <f>+U93</f>
        <v>171925494</v>
      </c>
      <c r="W93" s="244" t="s">
        <v>43</v>
      </c>
      <c r="X93" s="244" t="s">
        <v>46</v>
      </c>
      <c r="Y93" s="242" t="s">
        <v>242</v>
      </c>
      <c r="Z93" s="245" t="s">
        <v>151</v>
      </c>
      <c r="AA93" s="246" t="s">
        <v>246</v>
      </c>
      <c r="AB93" s="247" t="s">
        <v>535</v>
      </c>
      <c r="AC93" s="357" t="s">
        <v>536</v>
      </c>
      <c r="AD93" s="249" t="s">
        <v>43</v>
      </c>
      <c r="AE93" s="249" t="s">
        <v>47</v>
      </c>
      <c r="AF93" s="250" t="s">
        <v>72</v>
      </c>
      <c r="AG93" s="250" t="s">
        <v>73</v>
      </c>
      <c r="AH93" s="250" t="s">
        <v>74</v>
      </c>
      <c r="AI93" s="250" t="s">
        <v>53</v>
      </c>
      <c r="AJ93" s="251" t="s">
        <v>53</v>
      </c>
      <c r="AK93" s="251" t="s">
        <v>53</v>
      </c>
      <c r="AL93" s="137"/>
      <c r="AM93" s="137"/>
      <c r="AN93" s="137"/>
      <c r="AO93" s="137"/>
      <c r="AP93" s="137"/>
      <c r="AQ93" s="137"/>
      <c r="AR93" s="137"/>
      <c r="AS93" s="137"/>
      <c r="AT93" s="137"/>
      <c r="AU93" s="137"/>
      <c r="AV93" s="137"/>
      <c r="AW93" s="137"/>
    </row>
    <row r="94" spans="1:49" customFormat="1" ht="67.5" hidden="1">
      <c r="A94" s="256">
        <v>44102</v>
      </c>
      <c r="B94" s="304" t="str">
        <f>IFERROR(VLOOKUP(A94,[9]Listas!$A$91:$B$107,2,FALSE),"")</f>
        <v>FORTALECIMIENTO DEL ACCESO, LA PERMANENCIA Y LA CALIDAD DE LA EDUCACIÓN SUPERIOR UPN-ATENEA</v>
      </c>
      <c r="C94" s="310" t="s">
        <v>241</v>
      </c>
      <c r="D94" s="252" t="s">
        <v>242</v>
      </c>
      <c r="E94" s="252" t="s">
        <v>243</v>
      </c>
      <c r="F94" s="252" t="s">
        <v>244</v>
      </c>
      <c r="G94" s="349">
        <v>592631771</v>
      </c>
      <c r="H94" s="256" t="s">
        <v>247</v>
      </c>
      <c r="I94" s="243" t="str">
        <f>IFERROR(VLOOKUP(H94,[9]Listas!$B$124:$C$142,2,FALSE),"")</f>
        <v>Recursos propios Atenea JE3</v>
      </c>
      <c r="J94" s="350" t="s">
        <v>175</v>
      </c>
      <c r="K94" s="351" t="s">
        <v>43</v>
      </c>
      <c r="L94" s="301"/>
      <c r="M94" s="270" t="str">
        <f t="shared" ref="M94:M96" si="10">"INV-"&amp;A94&amp;"-"&amp;J94</f>
        <v>INV-44102-2</v>
      </c>
      <c r="N94" s="358" t="s">
        <v>70</v>
      </c>
      <c r="O94" s="353" t="s">
        <v>248</v>
      </c>
      <c r="P94" s="244" t="s">
        <v>51</v>
      </c>
      <c r="Q94" s="244" t="s">
        <v>52</v>
      </c>
      <c r="R94" s="354">
        <v>4</v>
      </c>
      <c r="S94" s="244" t="s">
        <v>45</v>
      </c>
      <c r="T94" s="355" t="s">
        <v>70</v>
      </c>
      <c r="U94" s="356">
        <f t="shared" ref="U94:U121" si="11">+G94</f>
        <v>592631771</v>
      </c>
      <c r="V94" s="356">
        <f t="shared" ref="V94:V121" si="12">+U94</f>
        <v>592631771</v>
      </c>
      <c r="W94" s="244" t="s">
        <v>43</v>
      </c>
      <c r="X94" s="244" t="s">
        <v>46</v>
      </c>
      <c r="Y94" s="242" t="s">
        <v>242</v>
      </c>
      <c r="Z94" s="245" t="s">
        <v>151</v>
      </c>
      <c r="AA94" s="246" t="s">
        <v>246</v>
      </c>
      <c r="AB94" s="247" t="s">
        <v>535</v>
      </c>
      <c r="AC94" s="357" t="s">
        <v>536</v>
      </c>
      <c r="AD94" s="249" t="s">
        <v>43</v>
      </c>
      <c r="AE94" s="249" t="s">
        <v>47</v>
      </c>
      <c r="AF94" s="250" t="s">
        <v>72</v>
      </c>
      <c r="AG94" s="250" t="s">
        <v>73</v>
      </c>
      <c r="AH94" s="250" t="s">
        <v>74</v>
      </c>
      <c r="AI94" s="250" t="s">
        <v>53</v>
      </c>
      <c r="AJ94" s="251" t="s">
        <v>53</v>
      </c>
      <c r="AK94" s="251" t="s">
        <v>53</v>
      </c>
      <c r="AL94" s="137"/>
      <c r="AM94" s="137"/>
      <c r="AN94" s="137"/>
      <c r="AO94" s="137"/>
      <c r="AP94" s="137"/>
      <c r="AQ94" s="137"/>
      <c r="AR94" s="137"/>
      <c r="AS94" s="137"/>
      <c r="AT94" s="137"/>
      <c r="AU94" s="137"/>
      <c r="AV94" s="137"/>
      <c r="AW94" s="137"/>
    </row>
    <row r="95" spans="1:49" customFormat="1" ht="67.5" hidden="1">
      <c r="A95" s="256">
        <v>44102</v>
      </c>
      <c r="B95" s="304" t="str">
        <f>IFERROR(VLOOKUP(A95,[9]Listas!$A$91:$B$107,2,FALSE),"")</f>
        <v>FORTALECIMIENTO DEL ACCESO, LA PERMANENCIA Y LA CALIDAD DE LA EDUCACIÓN SUPERIOR UPN-ATENEA</v>
      </c>
      <c r="C95" s="310" t="s">
        <v>249</v>
      </c>
      <c r="D95" s="252" t="s">
        <v>242</v>
      </c>
      <c r="E95" s="252" t="s">
        <v>243</v>
      </c>
      <c r="F95" s="359" t="s">
        <v>86</v>
      </c>
      <c r="G95" s="349">
        <v>191003443</v>
      </c>
      <c r="H95" s="256" t="s">
        <v>247</v>
      </c>
      <c r="I95" s="243" t="str">
        <f>IFERROR(VLOOKUP(H95,[9]Listas!$B$124:$C$142,2,FALSE),"")</f>
        <v>Recursos propios Atenea JE3</v>
      </c>
      <c r="J95" s="350" t="s">
        <v>178</v>
      </c>
      <c r="K95" s="351" t="s">
        <v>43</v>
      </c>
      <c r="L95" s="301"/>
      <c r="M95" s="270" t="str">
        <f t="shared" si="10"/>
        <v>INV-44102-3</v>
      </c>
      <c r="N95" s="358" t="s">
        <v>70</v>
      </c>
      <c r="O95" s="353" t="s">
        <v>250</v>
      </c>
      <c r="P95" s="244" t="s">
        <v>51</v>
      </c>
      <c r="Q95" s="244" t="s">
        <v>52</v>
      </c>
      <c r="R95" s="354">
        <v>4</v>
      </c>
      <c r="S95" s="244" t="s">
        <v>45</v>
      </c>
      <c r="T95" s="355" t="s">
        <v>70</v>
      </c>
      <c r="U95" s="356">
        <f t="shared" si="11"/>
        <v>191003443</v>
      </c>
      <c r="V95" s="356">
        <f t="shared" si="12"/>
        <v>191003443</v>
      </c>
      <c r="W95" s="244" t="s">
        <v>43</v>
      </c>
      <c r="X95" s="244" t="s">
        <v>46</v>
      </c>
      <c r="Y95" s="242" t="s">
        <v>242</v>
      </c>
      <c r="Z95" s="245" t="s">
        <v>151</v>
      </c>
      <c r="AA95" s="246" t="s">
        <v>246</v>
      </c>
      <c r="AB95" s="247" t="s">
        <v>535</v>
      </c>
      <c r="AC95" s="357" t="s">
        <v>536</v>
      </c>
      <c r="AD95" s="249" t="s">
        <v>43</v>
      </c>
      <c r="AE95" s="249" t="s">
        <v>47</v>
      </c>
      <c r="AF95" s="250" t="s">
        <v>72</v>
      </c>
      <c r="AG95" s="250" t="s">
        <v>73</v>
      </c>
      <c r="AH95" s="250" t="s">
        <v>74</v>
      </c>
      <c r="AI95" s="250" t="s">
        <v>53</v>
      </c>
      <c r="AJ95" s="251" t="s">
        <v>53</v>
      </c>
      <c r="AK95" s="251" t="s">
        <v>53</v>
      </c>
      <c r="AL95" s="137"/>
      <c r="AM95" s="137"/>
      <c r="AN95" s="137"/>
      <c r="AO95" s="137"/>
      <c r="AP95" s="137"/>
      <c r="AQ95" s="137"/>
      <c r="AR95" s="137"/>
      <c r="AS95" s="137"/>
      <c r="AT95" s="137"/>
      <c r="AU95" s="137"/>
      <c r="AV95" s="137"/>
      <c r="AW95" s="137"/>
    </row>
    <row r="96" spans="1:49" customFormat="1" ht="45" hidden="1">
      <c r="A96" s="256">
        <v>44102</v>
      </c>
      <c r="B96" s="304" t="str">
        <f>IFERROR(VLOOKUP(A96,[9]Listas!$A$91:$B$107,2,FALSE),"")</f>
        <v>FORTALECIMIENTO DEL ACCESO, LA PERMANENCIA Y LA CALIDAD DE LA EDUCACIÓN SUPERIOR UPN-ATENEA</v>
      </c>
      <c r="C96" s="310" t="s">
        <v>251</v>
      </c>
      <c r="D96" s="252" t="s">
        <v>242</v>
      </c>
      <c r="E96" s="252" t="s">
        <v>243</v>
      </c>
      <c r="F96" s="359" t="s">
        <v>254</v>
      </c>
      <c r="G96" s="349">
        <v>54598501</v>
      </c>
      <c r="H96" s="256" t="s">
        <v>247</v>
      </c>
      <c r="I96" s="243" t="str">
        <f>IFERROR(VLOOKUP(H96,[9]Listas!$B$124:$C$142,2,FALSE),"")</f>
        <v>Recursos propios Atenea JE3</v>
      </c>
      <c r="J96" s="350" t="s">
        <v>182</v>
      </c>
      <c r="K96" s="351" t="s">
        <v>43</v>
      </c>
      <c r="L96" s="303"/>
      <c r="M96" s="270" t="str">
        <f t="shared" si="10"/>
        <v>INV-44102-4</v>
      </c>
      <c r="N96" s="358" t="s">
        <v>70</v>
      </c>
      <c r="O96" s="353" t="s">
        <v>538</v>
      </c>
      <c r="P96" s="244" t="s">
        <v>55</v>
      </c>
      <c r="Q96" s="244" t="s">
        <v>55</v>
      </c>
      <c r="R96" s="354">
        <v>10</v>
      </c>
      <c r="S96" s="244" t="s">
        <v>45</v>
      </c>
      <c r="T96" s="355" t="s">
        <v>48</v>
      </c>
      <c r="U96" s="356">
        <f t="shared" si="11"/>
        <v>54598501</v>
      </c>
      <c r="V96" s="356">
        <f t="shared" si="12"/>
        <v>54598501</v>
      </c>
      <c r="W96" s="244" t="s">
        <v>43</v>
      </c>
      <c r="X96" s="244" t="s">
        <v>46</v>
      </c>
      <c r="Y96" s="242" t="s">
        <v>242</v>
      </c>
      <c r="Z96" s="245" t="s">
        <v>151</v>
      </c>
      <c r="AA96" s="246" t="s">
        <v>246</v>
      </c>
      <c r="AB96" s="247" t="s">
        <v>535</v>
      </c>
      <c r="AC96" s="357" t="s">
        <v>536</v>
      </c>
      <c r="AD96" s="249" t="s">
        <v>43</v>
      </c>
      <c r="AE96" s="249" t="s">
        <v>47</v>
      </c>
      <c r="AF96" s="250" t="s">
        <v>72</v>
      </c>
      <c r="AG96" s="250" t="s">
        <v>73</v>
      </c>
      <c r="AH96" s="250" t="s">
        <v>74</v>
      </c>
      <c r="AI96" s="250" t="s">
        <v>53</v>
      </c>
      <c r="AJ96" s="251" t="s">
        <v>53</v>
      </c>
      <c r="AK96" s="251" t="s">
        <v>53</v>
      </c>
      <c r="AL96" s="137"/>
      <c r="AM96" s="137"/>
      <c r="AN96" s="137"/>
      <c r="AO96" s="137"/>
      <c r="AP96" s="137"/>
      <c r="AQ96" s="137"/>
      <c r="AR96" s="137"/>
      <c r="AS96" s="137"/>
      <c r="AT96" s="137"/>
      <c r="AU96" s="137"/>
      <c r="AV96" s="137"/>
      <c r="AW96" s="137"/>
    </row>
    <row r="97" spans="1:49" customFormat="1" ht="48" hidden="1">
      <c r="A97" s="318">
        <v>44102</v>
      </c>
      <c r="B97" s="347" t="str">
        <f>IFERROR(VLOOKUP(A97,[10]Listas!$A$91:$B$107,2,FALSE),"")</f>
        <v>FORTALECIMIENTO DEL ACCESO, LA PERMANENCIA Y LA CALIDAD DE LA EDUCACIÓN SUPERIOR UPN-ATENEA</v>
      </c>
      <c r="C97" s="323" t="s">
        <v>252</v>
      </c>
      <c r="D97" s="360" t="s">
        <v>242</v>
      </c>
      <c r="E97" s="360" t="s">
        <v>243</v>
      </c>
      <c r="F97" s="360" t="s">
        <v>253</v>
      </c>
      <c r="G97" s="349">
        <v>39192000</v>
      </c>
      <c r="H97" s="256">
        <v>20.07</v>
      </c>
      <c r="I97" s="243" t="str">
        <f>IFERROR(VLOOKUP(H97,[10]Listas!$B$124:$C$142,2,FALSE),"")</f>
        <v>Recursos Propios - Atenea</v>
      </c>
      <c r="J97" s="350" t="s">
        <v>184</v>
      </c>
      <c r="K97" s="361" t="s">
        <v>47</v>
      </c>
      <c r="L97" s="256"/>
      <c r="M97" s="270" t="str">
        <f>"INV-"&amp;A97&amp;"-"&amp;J97</f>
        <v>INV-44102-5</v>
      </c>
      <c r="N97" s="362">
        <v>60103704</v>
      </c>
      <c r="O97" s="353" t="s">
        <v>372</v>
      </c>
      <c r="P97" s="363" t="s">
        <v>55</v>
      </c>
      <c r="Q97" s="363" t="s">
        <v>55</v>
      </c>
      <c r="R97" s="364">
        <v>10</v>
      </c>
      <c r="S97" s="244" t="s">
        <v>45</v>
      </c>
      <c r="T97" s="365" t="s">
        <v>48</v>
      </c>
      <c r="U97" s="356">
        <f t="shared" si="11"/>
        <v>39192000</v>
      </c>
      <c r="V97" s="356">
        <f t="shared" si="12"/>
        <v>39192000</v>
      </c>
      <c r="W97" s="363" t="s">
        <v>43</v>
      </c>
      <c r="X97" s="363" t="s">
        <v>46</v>
      </c>
      <c r="Y97" s="366" t="s">
        <v>242</v>
      </c>
      <c r="Z97" s="367" t="s">
        <v>151</v>
      </c>
      <c r="AA97" s="246" t="s">
        <v>246</v>
      </c>
      <c r="AB97" s="368" t="s">
        <v>535</v>
      </c>
      <c r="AC97" s="369" t="s">
        <v>536</v>
      </c>
      <c r="AD97" s="370" t="s">
        <v>43</v>
      </c>
      <c r="AE97" s="370" t="s">
        <v>47</v>
      </c>
      <c r="AF97" s="250" t="s">
        <v>72</v>
      </c>
      <c r="AG97" s="250" t="s">
        <v>73</v>
      </c>
      <c r="AH97" s="250" t="s">
        <v>74</v>
      </c>
      <c r="AI97" s="250" t="s">
        <v>53</v>
      </c>
      <c r="AJ97" s="251" t="s">
        <v>53</v>
      </c>
      <c r="AK97" s="251" t="s">
        <v>53</v>
      </c>
      <c r="AL97" s="137"/>
      <c r="AM97" s="137"/>
      <c r="AN97" s="137"/>
      <c r="AO97" s="137"/>
      <c r="AP97" s="137"/>
      <c r="AQ97" s="137"/>
      <c r="AR97" s="137"/>
      <c r="AS97" s="137"/>
      <c r="AT97" s="137"/>
      <c r="AU97" s="137"/>
      <c r="AV97" s="137"/>
      <c r="AW97" s="137"/>
    </row>
    <row r="98" spans="1:49" customFormat="1" ht="84" hidden="1">
      <c r="A98" s="318">
        <v>44102</v>
      </c>
      <c r="B98" s="347" t="str">
        <f>IFERROR(VLOOKUP(A98,[10]Listas!$A$91:$B$107,2,FALSE),"")</f>
        <v>FORTALECIMIENTO DEL ACCESO, LA PERMANENCIA Y LA CALIDAD DE LA EDUCACIÓN SUPERIOR UPN-ATENEA</v>
      </c>
      <c r="C98" s="323" t="s">
        <v>252</v>
      </c>
      <c r="D98" s="360" t="s">
        <v>242</v>
      </c>
      <c r="E98" s="360" t="s">
        <v>243</v>
      </c>
      <c r="F98" s="360" t="s">
        <v>254</v>
      </c>
      <c r="G98" s="349">
        <v>9819131</v>
      </c>
      <c r="H98" s="256">
        <v>20.07</v>
      </c>
      <c r="I98" s="243" t="str">
        <f>IFERROR(VLOOKUP(H98,[10]Listas!$B$124:$C$142,2,FALSE),"")</f>
        <v>Recursos Propios - Atenea</v>
      </c>
      <c r="J98" s="350" t="s">
        <v>185</v>
      </c>
      <c r="K98" s="361" t="s">
        <v>47</v>
      </c>
      <c r="L98" s="301"/>
      <c r="M98" s="270" t="str">
        <f t="shared" ref="M98:M125" si="13">"INV-"&amp;A98&amp;"-"&amp;J98</f>
        <v>INV-44102-6</v>
      </c>
      <c r="N98" s="362">
        <v>80111600</v>
      </c>
      <c r="O98" s="353" t="s">
        <v>255</v>
      </c>
      <c r="P98" s="363" t="s">
        <v>55</v>
      </c>
      <c r="Q98" s="363" t="s">
        <v>55</v>
      </c>
      <c r="R98" s="364">
        <v>4</v>
      </c>
      <c r="S98" s="244" t="s">
        <v>45</v>
      </c>
      <c r="T98" s="365" t="s">
        <v>48</v>
      </c>
      <c r="U98" s="356">
        <f t="shared" si="11"/>
        <v>9819131</v>
      </c>
      <c r="V98" s="356">
        <f t="shared" si="12"/>
        <v>9819131</v>
      </c>
      <c r="W98" s="363" t="s">
        <v>43</v>
      </c>
      <c r="X98" s="363" t="s">
        <v>46</v>
      </c>
      <c r="Y98" s="366" t="s">
        <v>242</v>
      </c>
      <c r="Z98" s="367" t="s">
        <v>151</v>
      </c>
      <c r="AA98" s="246" t="s">
        <v>246</v>
      </c>
      <c r="AB98" s="368" t="s">
        <v>535</v>
      </c>
      <c r="AC98" s="369" t="s">
        <v>536</v>
      </c>
      <c r="AD98" s="370" t="s">
        <v>43</v>
      </c>
      <c r="AE98" s="370" t="s">
        <v>47</v>
      </c>
      <c r="AF98" s="250" t="s">
        <v>72</v>
      </c>
      <c r="AG98" s="250" t="s">
        <v>73</v>
      </c>
      <c r="AH98" s="250" t="s">
        <v>74</v>
      </c>
      <c r="AI98" s="250" t="s">
        <v>53</v>
      </c>
      <c r="AJ98" s="251" t="s">
        <v>53</v>
      </c>
      <c r="AK98" s="251" t="s">
        <v>53</v>
      </c>
      <c r="AL98" s="137"/>
      <c r="AM98" s="137"/>
      <c r="AN98" s="137"/>
      <c r="AO98" s="137"/>
      <c r="AP98" s="137"/>
      <c r="AQ98" s="137"/>
      <c r="AR98" s="137"/>
      <c r="AS98" s="137"/>
      <c r="AT98" s="137"/>
      <c r="AU98" s="137"/>
      <c r="AV98" s="137"/>
      <c r="AW98" s="137"/>
    </row>
    <row r="99" spans="1:49" customFormat="1" ht="84" hidden="1">
      <c r="A99" s="318">
        <v>44102</v>
      </c>
      <c r="B99" s="347" t="str">
        <f>IFERROR(VLOOKUP(A99,[10]Listas!$A$91:$B$107,2,FALSE),"")</f>
        <v>FORTALECIMIENTO DEL ACCESO, LA PERMANENCIA Y LA CALIDAD DE LA EDUCACIÓN SUPERIOR UPN-ATENEA</v>
      </c>
      <c r="C99" s="323" t="s">
        <v>252</v>
      </c>
      <c r="D99" s="360" t="s">
        <v>242</v>
      </c>
      <c r="E99" s="360" t="s">
        <v>243</v>
      </c>
      <c r="F99" s="360" t="s">
        <v>254</v>
      </c>
      <c r="G99" s="349">
        <v>9819131</v>
      </c>
      <c r="H99" s="256">
        <v>20.07</v>
      </c>
      <c r="I99" s="243" t="str">
        <f>IFERROR(VLOOKUP(H99,[10]Listas!$B$124:$C$142,2,FALSE),"")</f>
        <v>Recursos Propios - Atenea</v>
      </c>
      <c r="J99" s="350" t="s">
        <v>188</v>
      </c>
      <c r="K99" s="361" t="s">
        <v>47</v>
      </c>
      <c r="L99" s="301"/>
      <c r="M99" s="270" t="str">
        <f t="shared" si="13"/>
        <v>INV-44102-7</v>
      </c>
      <c r="N99" s="362">
        <v>80111600</v>
      </c>
      <c r="O99" s="353" t="s">
        <v>255</v>
      </c>
      <c r="P99" s="363" t="s">
        <v>55</v>
      </c>
      <c r="Q99" s="363" t="s">
        <v>55</v>
      </c>
      <c r="R99" s="364">
        <v>4</v>
      </c>
      <c r="S99" s="244" t="s">
        <v>45</v>
      </c>
      <c r="T99" s="365" t="s">
        <v>48</v>
      </c>
      <c r="U99" s="356">
        <f t="shared" si="11"/>
        <v>9819131</v>
      </c>
      <c r="V99" s="356">
        <f t="shared" si="12"/>
        <v>9819131</v>
      </c>
      <c r="W99" s="363" t="s">
        <v>43</v>
      </c>
      <c r="X99" s="363" t="s">
        <v>46</v>
      </c>
      <c r="Y99" s="366" t="s">
        <v>242</v>
      </c>
      <c r="Z99" s="367" t="s">
        <v>151</v>
      </c>
      <c r="AA99" s="246" t="s">
        <v>246</v>
      </c>
      <c r="AB99" s="368" t="s">
        <v>535</v>
      </c>
      <c r="AC99" s="369" t="s">
        <v>536</v>
      </c>
      <c r="AD99" s="370" t="s">
        <v>43</v>
      </c>
      <c r="AE99" s="370" t="s">
        <v>47</v>
      </c>
      <c r="AF99" s="250" t="s">
        <v>72</v>
      </c>
      <c r="AG99" s="250" t="s">
        <v>73</v>
      </c>
      <c r="AH99" s="250" t="s">
        <v>74</v>
      </c>
      <c r="AI99" s="250" t="s">
        <v>53</v>
      </c>
      <c r="AJ99" s="251" t="s">
        <v>53</v>
      </c>
      <c r="AK99" s="251" t="s">
        <v>53</v>
      </c>
      <c r="AL99" s="137"/>
      <c r="AM99" s="137"/>
      <c r="AN99" s="137"/>
      <c r="AO99" s="137"/>
      <c r="AP99" s="137"/>
      <c r="AQ99" s="137"/>
      <c r="AR99" s="137"/>
      <c r="AS99" s="137"/>
      <c r="AT99" s="137"/>
      <c r="AU99" s="137"/>
      <c r="AV99" s="137"/>
      <c r="AW99" s="137"/>
    </row>
    <row r="100" spans="1:49" customFormat="1" ht="84" hidden="1">
      <c r="A100" s="318">
        <v>44102</v>
      </c>
      <c r="B100" s="347" t="str">
        <f>IFERROR(VLOOKUP(A100,[10]Listas!$A$91:$B$107,2,FALSE),"")</f>
        <v>FORTALECIMIENTO DEL ACCESO, LA PERMANENCIA Y LA CALIDAD DE LA EDUCACIÓN SUPERIOR UPN-ATENEA</v>
      </c>
      <c r="C100" s="323" t="s">
        <v>252</v>
      </c>
      <c r="D100" s="360" t="s">
        <v>242</v>
      </c>
      <c r="E100" s="360" t="s">
        <v>243</v>
      </c>
      <c r="F100" s="360" t="s">
        <v>254</v>
      </c>
      <c r="G100" s="349">
        <v>9819131</v>
      </c>
      <c r="H100" s="256">
        <v>20.07</v>
      </c>
      <c r="I100" s="243" t="str">
        <f>IFERROR(VLOOKUP(H100,[10]Listas!$B$124:$C$142,2,FALSE),"")</f>
        <v>Recursos Propios - Atenea</v>
      </c>
      <c r="J100" s="350" t="s">
        <v>191</v>
      </c>
      <c r="K100" s="361" t="s">
        <v>47</v>
      </c>
      <c r="L100" s="301"/>
      <c r="M100" s="270" t="str">
        <f t="shared" si="13"/>
        <v>INV-44102-8</v>
      </c>
      <c r="N100" s="362">
        <v>80111600</v>
      </c>
      <c r="O100" s="353" t="s">
        <v>255</v>
      </c>
      <c r="P100" s="363" t="s">
        <v>55</v>
      </c>
      <c r="Q100" s="363" t="s">
        <v>55</v>
      </c>
      <c r="R100" s="364">
        <v>4</v>
      </c>
      <c r="S100" s="244" t="s">
        <v>45</v>
      </c>
      <c r="T100" s="365" t="s">
        <v>48</v>
      </c>
      <c r="U100" s="356">
        <f t="shared" si="11"/>
        <v>9819131</v>
      </c>
      <c r="V100" s="356">
        <f t="shared" si="12"/>
        <v>9819131</v>
      </c>
      <c r="W100" s="363" t="s">
        <v>43</v>
      </c>
      <c r="X100" s="363" t="s">
        <v>46</v>
      </c>
      <c r="Y100" s="366" t="s">
        <v>242</v>
      </c>
      <c r="Z100" s="367" t="s">
        <v>151</v>
      </c>
      <c r="AA100" s="246" t="s">
        <v>246</v>
      </c>
      <c r="AB100" s="368" t="s">
        <v>535</v>
      </c>
      <c r="AC100" s="369" t="s">
        <v>536</v>
      </c>
      <c r="AD100" s="370" t="s">
        <v>43</v>
      </c>
      <c r="AE100" s="370" t="s">
        <v>47</v>
      </c>
      <c r="AF100" s="250" t="s">
        <v>72</v>
      </c>
      <c r="AG100" s="250" t="s">
        <v>73</v>
      </c>
      <c r="AH100" s="250" t="s">
        <v>74</v>
      </c>
      <c r="AI100" s="250" t="s">
        <v>53</v>
      </c>
      <c r="AJ100" s="251" t="s">
        <v>53</v>
      </c>
      <c r="AK100" s="251" t="s">
        <v>53</v>
      </c>
      <c r="AL100" s="137"/>
      <c r="AM100" s="137"/>
      <c r="AN100" s="137"/>
      <c r="AO100" s="137"/>
      <c r="AP100" s="137"/>
      <c r="AQ100" s="137"/>
      <c r="AR100" s="137"/>
      <c r="AS100" s="137"/>
      <c r="AT100" s="137"/>
      <c r="AU100" s="137"/>
      <c r="AV100" s="137"/>
      <c r="AW100" s="137"/>
    </row>
    <row r="101" spans="1:49" customFormat="1" ht="84" hidden="1">
      <c r="A101" s="318">
        <v>44102</v>
      </c>
      <c r="B101" s="347" t="str">
        <f>IFERROR(VLOOKUP(A101,[10]Listas!$A$91:$B$107,2,FALSE),"")</f>
        <v>FORTALECIMIENTO DEL ACCESO, LA PERMANENCIA Y LA CALIDAD DE LA EDUCACIÓN SUPERIOR UPN-ATENEA</v>
      </c>
      <c r="C101" s="323" t="s">
        <v>252</v>
      </c>
      <c r="D101" s="360" t="s">
        <v>242</v>
      </c>
      <c r="E101" s="360" t="s">
        <v>243</v>
      </c>
      <c r="F101" s="360" t="s">
        <v>254</v>
      </c>
      <c r="G101" s="349">
        <v>9819131</v>
      </c>
      <c r="H101" s="256">
        <v>20.07</v>
      </c>
      <c r="I101" s="243" t="str">
        <f>IFERROR(VLOOKUP(H101,[10]Listas!$B$124:$C$142,2,FALSE),"")</f>
        <v>Recursos Propios - Atenea</v>
      </c>
      <c r="J101" s="350" t="s">
        <v>194</v>
      </c>
      <c r="K101" s="361" t="s">
        <v>47</v>
      </c>
      <c r="L101" s="301"/>
      <c r="M101" s="270" t="str">
        <f t="shared" si="13"/>
        <v>INV-44102-9</v>
      </c>
      <c r="N101" s="362">
        <v>80111600</v>
      </c>
      <c r="O101" s="353" t="s">
        <v>256</v>
      </c>
      <c r="P101" s="363" t="s">
        <v>52</v>
      </c>
      <c r="Q101" s="363" t="s">
        <v>52</v>
      </c>
      <c r="R101" s="364">
        <v>4</v>
      </c>
      <c r="S101" s="244" t="s">
        <v>45</v>
      </c>
      <c r="T101" s="365" t="s">
        <v>48</v>
      </c>
      <c r="U101" s="356">
        <f t="shared" si="11"/>
        <v>9819131</v>
      </c>
      <c r="V101" s="356">
        <f t="shared" si="12"/>
        <v>9819131</v>
      </c>
      <c r="W101" s="363" t="s">
        <v>43</v>
      </c>
      <c r="X101" s="363" t="s">
        <v>46</v>
      </c>
      <c r="Y101" s="366" t="s">
        <v>242</v>
      </c>
      <c r="Z101" s="367" t="s">
        <v>151</v>
      </c>
      <c r="AA101" s="246" t="s">
        <v>246</v>
      </c>
      <c r="AB101" s="368" t="s">
        <v>535</v>
      </c>
      <c r="AC101" s="369" t="s">
        <v>536</v>
      </c>
      <c r="AD101" s="370" t="s">
        <v>43</v>
      </c>
      <c r="AE101" s="370" t="s">
        <v>47</v>
      </c>
      <c r="AF101" s="250" t="s">
        <v>72</v>
      </c>
      <c r="AG101" s="250" t="s">
        <v>73</v>
      </c>
      <c r="AH101" s="250" t="s">
        <v>74</v>
      </c>
      <c r="AI101" s="250" t="s">
        <v>53</v>
      </c>
      <c r="AJ101" s="251" t="s">
        <v>53</v>
      </c>
      <c r="AK101" s="251" t="s">
        <v>53</v>
      </c>
      <c r="AL101" s="137"/>
      <c r="AM101" s="137"/>
      <c r="AN101" s="137"/>
      <c r="AO101" s="137"/>
      <c r="AP101" s="137"/>
      <c r="AQ101" s="137"/>
      <c r="AR101" s="137"/>
      <c r="AS101" s="137"/>
      <c r="AT101" s="137"/>
      <c r="AU101" s="137"/>
      <c r="AV101" s="137"/>
      <c r="AW101" s="137"/>
    </row>
    <row r="102" spans="1:49" customFormat="1" ht="84" hidden="1">
      <c r="A102" s="318">
        <v>44102</v>
      </c>
      <c r="B102" s="323" t="str">
        <f>IFERROR(VLOOKUP(A102,[10]Listas!$A$91:$B$107,2,FALSE),"")</f>
        <v>FORTALECIMIENTO DEL ACCESO, LA PERMANENCIA Y LA CALIDAD DE LA EDUCACIÓN SUPERIOR UPN-ATENEA</v>
      </c>
      <c r="C102" s="323" t="s">
        <v>252</v>
      </c>
      <c r="D102" s="360" t="s">
        <v>242</v>
      </c>
      <c r="E102" s="360" t="s">
        <v>243</v>
      </c>
      <c r="F102" s="360" t="s">
        <v>254</v>
      </c>
      <c r="G102" s="349">
        <v>9819131</v>
      </c>
      <c r="H102" s="256">
        <v>20.07</v>
      </c>
      <c r="I102" s="243" t="str">
        <f>IFERROR(VLOOKUP(H102,[10]Listas!$B$124:$C$142,2,FALSE),"")</f>
        <v>Recursos Propios - Atenea</v>
      </c>
      <c r="J102" s="350" t="s">
        <v>196</v>
      </c>
      <c r="K102" s="361" t="s">
        <v>47</v>
      </c>
      <c r="L102" s="301"/>
      <c r="M102" s="274" t="str">
        <f t="shared" si="13"/>
        <v>INV-44102-10</v>
      </c>
      <c r="N102" s="362">
        <v>80111600</v>
      </c>
      <c r="O102" s="353" t="s">
        <v>256</v>
      </c>
      <c r="P102" s="363" t="s">
        <v>52</v>
      </c>
      <c r="Q102" s="363" t="s">
        <v>52</v>
      </c>
      <c r="R102" s="364">
        <v>4</v>
      </c>
      <c r="S102" s="244" t="s">
        <v>45</v>
      </c>
      <c r="T102" s="365" t="s">
        <v>48</v>
      </c>
      <c r="U102" s="356">
        <f t="shared" si="11"/>
        <v>9819131</v>
      </c>
      <c r="V102" s="356">
        <f t="shared" si="12"/>
        <v>9819131</v>
      </c>
      <c r="W102" s="363" t="s">
        <v>43</v>
      </c>
      <c r="X102" s="363" t="s">
        <v>46</v>
      </c>
      <c r="Y102" s="366" t="s">
        <v>242</v>
      </c>
      <c r="Z102" s="367" t="s">
        <v>151</v>
      </c>
      <c r="AA102" s="246" t="s">
        <v>246</v>
      </c>
      <c r="AB102" s="368" t="s">
        <v>535</v>
      </c>
      <c r="AC102" s="369" t="s">
        <v>536</v>
      </c>
      <c r="AD102" s="370" t="s">
        <v>43</v>
      </c>
      <c r="AE102" s="370" t="s">
        <v>47</v>
      </c>
      <c r="AF102" s="250" t="s">
        <v>72</v>
      </c>
      <c r="AG102" s="250" t="s">
        <v>73</v>
      </c>
      <c r="AH102" s="250" t="s">
        <v>74</v>
      </c>
      <c r="AI102" s="250" t="s">
        <v>53</v>
      </c>
      <c r="AJ102" s="251" t="s">
        <v>53</v>
      </c>
      <c r="AK102" s="251" t="s">
        <v>53</v>
      </c>
      <c r="AL102" s="137"/>
      <c r="AM102" s="137"/>
      <c r="AN102" s="137"/>
      <c r="AO102" s="137"/>
      <c r="AP102" s="137"/>
      <c r="AQ102" s="137"/>
      <c r="AR102" s="137"/>
      <c r="AS102" s="137"/>
      <c r="AT102" s="137"/>
      <c r="AU102" s="137"/>
      <c r="AV102" s="137"/>
      <c r="AW102" s="137"/>
    </row>
    <row r="103" spans="1:49" customFormat="1" ht="84" hidden="1">
      <c r="A103" s="318">
        <v>44102</v>
      </c>
      <c r="B103" s="323" t="str">
        <f>IFERROR(VLOOKUP(A103,[10]Listas!$A$91:$B$107,2,FALSE),"")</f>
        <v>FORTALECIMIENTO DEL ACCESO, LA PERMANENCIA Y LA CALIDAD DE LA EDUCACIÓN SUPERIOR UPN-ATENEA</v>
      </c>
      <c r="C103" s="323" t="s">
        <v>252</v>
      </c>
      <c r="D103" s="360" t="s">
        <v>242</v>
      </c>
      <c r="E103" s="360" t="s">
        <v>243</v>
      </c>
      <c r="F103" s="360" t="s">
        <v>254</v>
      </c>
      <c r="G103" s="349">
        <v>9819131</v>
      </c>
      <c r="H103" s="256">
        <v>20.07</v>
      </c>
      <c r="I103" s="243" t="str">
        <f>IFERROR(VLOOKUP(H103,[10]Listas!$B$124:$C$142,2,FALSE),"")</f>
        <v>Recursos Propios - Atenea</v>
      </c>
      <c r="J103" s="350" t="s">
        <v>198</v>
      </c>
      <c r="K103" s="361" t="s">
        <v>47</v>
      </c>
      <c r="L103" s="301"/>
      <c r="M103" s="274" t="str">
        <f t="shared" si="13"/>
        <v>INV-44102-11</v>
      </c>
      <c r="N103" s="362">
        <v>80111600</v>
      </c>
      <c r="O103" s="353" t="s">
        <v>256</v>
      </c>
      <c r="P103" s="363" t="s">
        <v>52</v>
      </c>
      <c r="Q103" s="363" t="s">
        <v>52</v>
      </c>
      <c r="R103" s="364">
        <v>4</v>
      </c>
      <c r="S103" s="244" t="s">
        <v>45</v>
      </c>
      <c r="T103" s="365" t="s">
        <v>48</v>
      </c>
      <c r="U103" s="356">
        <f t="shared" si="11"/>
        <v>9819131</v>
      </c>
      <c r="V103" s="356">
        <f t="shared" si="12"/>
        <v>9819131</v>
      </c>
      <c r="W103" s="363" t="s">
        <v>43</v>
      </c>
      <c r="X103" s="363" t="s">
        <v>46</v>
      </c>
      <c r="Y103" s="366" t="s">
        <v>242</v>
      </c>
      <c r="Z103" s="367" t="s">
        <v>151</v>
      </c>
      <c r="AA103" s="246" t="s">
        <v>246</v>
      </c>
      <c r="AB103" s="368" t="s">
        <v>535</v>
      </c>
      <c r="AC103" s="369" t="s">
        <v>536</v>
      </c>
      <c r="AD103" s="370" t="s">
        <v>43</v>
      </c>
      <c r="AE103" s="370" t="s">
        <v>47</v>
      </c>
      <c r="AF103" s="250" t="s">
        <v>72</v>
      </c>
      <c r="AG103" s="250" t="s">
        <v>73</v>
      </c>
      <c r="AH103" s="250" t="s">
        <v>74</v>
      </c>
      <c r="AI103" s="250" t="s">
        <v>53</v>
      </c>
      <c r="AJ103" s="251" t="s">
        <v>53</v>
      </c>
      <c r="AK103" s="251" t="s">
        <v>53</v>
      </c>
      <c r="AL103" s="137"/>
      <c r="AM103" s="137"/>
      <c r="AN103" s="137"/>
      <c r="AO103" s="137"/>
      <c r="AP103" s="137"/>
      <c r="AQ103" s="137"/>
      <c r="AR103" s="137"/>
      <c r="AS103" s="137"/>
      <c r="AT103" s="137"/>
      <c r="AU103" s="137"/>
      <c r="AV103" s="137"/>
      <c r="AW103" s="137"/>
    </row>
    <row r="104" spans="1:49" customFormat="1" ht="48" hidden="1">
      <c r="A104" s="318">
        <v>44102</v>
      </c>
      <c r="B104" s="347" t="str">
        <f>IFERROR(VLOOKUP(A104,[10]Listas!$A$91:$B$107,2,FALSE),"")</f>
        <v>FORTALECIMIENTO DEL ACCESO, LA PERMANENCIA Y LA CALIDAD DE LA EDUCACIÓN SUPERIOR UPN-ATENEA</v>
      </c>
      <c r="C104" s="323" t="s">
        <v>252</v>
      </c>
      <c r="D104" s="252" t="s">
        <v>242</v>
      </c>
      <c r="E104" s="252" t="s">
        <v>243</v>
      </c>
      <c r="F104" s="359" t="s">
        <v>253</v>
      </c>
      <c r="G104" s="371">
        <v>111504000</v>
      </c>
      <c r="H104" s="275" t="s">
        <v>247</v>
      </c>
      <c r="I104" s="372" t="str">
        <f>IFERROR(VLOOKUP(H104,[10]Listas!$B$124:$C$142,2,FALSE),"")</f>
        <v>Recursos propios Atenea JE3</v>
      </c>
      <c r="J104" s="350" t="s">
        <v>200</v>
      </c>
      <c r="K104" s="361" t="s">
        <v>47</v>
      </c>
      <c r="L104" s="373"/>
      <c r="M104" s="274" t="str">
        <f t="shared" si="13"/>
        <v>INV-44102-12</v>
      </c>
      <c r="N104" s="362">
        <v>60103704</v>
      </c>
      <c r="O104" s="353" t="s">
        <v>373</v>
      </c>
      <c r="P104" s="363" t="s">
        <v>55</v>
      </c>
      <c r="Q104" s="363" t="s">
        <v>55</v>
      </c>
      <c r="R104" s="364">
        <v>10</v>
      </c>
      <c r="S104" s="244" t="s">
        <v>45</v>
      </c>
      <c r="T104" s="365" t="s">
        <v>48</v>
      </c>
      <c r="U104" s="374">
        <f t="shared" ref="U104:U111" si="14">G104</f>
        <v>111504000</v>
      </c>
      <c r="V104" s="374">
        <f t="shared" ref="V104:V111" si="15">G104</f>
        <v>111504000</v>
      </c>
      <c r="W104" s="363" t="s">
        <v>43</v>
      </c>
      <c r="X104" s="363" t="s">
        <v>46</v>
      </c>
      <c r="Y104" s="366" t="s">
        <v>242</v>
      </c>
      <c r="Z104" s="367" t="s">
        <v>151</v>
      </c>
      <c r="AA104" s="246" t="s">
        <v>246</v>
      </c>
      <c r="AB104" s="368" t="s">
        <v>535</v>
      </c>
      <c r="AC104" s="369" t="s">
        <v>536</v>
      </c>
      <c r="AD104" s="370" t="s">
        <v>43</v>
      </c>
      <c r="AE104" s="370" t="s">
        <v>47</v>
      </c>
      <c r="AF104" s="250" t="s">
        <v>72</v>
      </c>
      <c r="AG104" s="250" t="s">
        <v>73</v>
      </c>
      <c r="AH104" s="250" t="s">
        <v>74</v>
      </c>
      <c r="AI104" s="250" t="s">
        <v>53</v>
      </c>
      <c r="AJ104" s="251" t="s">
        <v>53</v>
      </c>
      <c r="AK104" s="251" t="s">
        <v>53</v>
      </c>
      <c r="AL104" s="137"/>
      <c r="AM104" s="137"/>
      <c r="AN104" s="137"/>
      <c r="AO104" s="137"/>
      <c r="AP104" s="137"/>
      <c r="AQ104" s="137"/>
      <c r="AR104" s="137"/>
      <c r="AS104" s="137"/>
      <c r="AT104" s="137"/>
      <c r="AU104" s="137"/>
      <c r="AV104" s="137"/>
      <c r="AW104" s="137"/>
    </row>
    <row r="105" spans="1:49" customFormat="1" ht="45" hidden="1">
      <c r="A105" s="318">
        <v>44102</v>
      </c>
      <c r="B105" s="347" t="str">
        <f>IFERROR(VLOOKUP(A105,[10]Listas!$A$91:$B$107,2,FALSE),"")</f>
        <v>FORTALECIMIENTO DEL ACCESO, LA PERMANENCIA Y LA CALIDAD DE LA EDUCACIÓN SUPERIOR UPN-ATENEA</v>
      </c>
      <c r="C105" s="323" t="s">
        <v>252</v>
      </c>
      <c r="D105" s="252" t="s">
        <v>242</v>
      </c>
      <c r="E105" s="252" t="s">
        <v>243</v>
      </c>
      <c r="F105" s="359" t="s">
        <v>253</v>
      </c>
      <c r="G105" s="371">
        <v>6060000</v>
      </c>
      <c r="H105" s="275" t="s">
        <v>247</v>
      </c>
      <c r="I105" s="372" t="str">
        <f>IFERROR(VLOOKUP(H105,[10]Listas!$B$124:$C$142,2,FALSE),"")</f>
        <v>Recursos propios Atenea JE3</v>
      </c>
      <c r="J105" s="350" t="s">
        <v>202</v>
      </c>
      <c r="K105" s="361" t="s">
        <v>47</v>
      </c>
      <c r="L105" s="373"/>
      <c r="M105" s="274" t="str">
        <f t="shared" si="13"/>
        <v>INV-44102-13</v>
      </c>
      <c r="N105" s="362">
        <v>60103704</v>
      </c>
      <c r="O105" s="353" t="s">
        <v>258</v>
      </c>
      <c r="P105" s="363" t="s">
        <v>55</v>
      </c>
      <c r="Q105" s="363" t="s">
        <v>55</v>
      </c>
      <c r="R105" s="364">
        <v>10</v>
      </c>
      <c r="S105" s="244" t="s">
        <v>45</v>
      </c>
      <c r="T105" s="365" t="s">
        <v>48</v>
      </c>
      <c r="U105" s="374">
        <f t="shared" si="14"/>
        <v>6060000</v>
      </c>
      <c r="V105" s="374">
        <f t="shared" si="15"/>
        <v>6060000</v>
      </c>
      <c r="W105" s="363" t="s">
        <v>43</v>
      </c>
      <c r="X105" s="363" t="s">
        <v>46</v>
      </c>
      <c r="Y105" s="366" t="s">
        <v>242</v>
      </c>
      <c r="Z105" s="367" t="s">
        <v>151</v>
      </c>
      <c r="AA105" s="246" t="s">
        <v>246</v>
      </c>
      <c r="AB105" s="368" t="s">
        <v>535</v>
      </c>
      <c r="AC105" s="369" t="s">
        <v>536</v>
      </c>
      <c r="AD105" s="370" t="s">
        <v>43</v>
      </c>
      <c r="AE105" s="370" t="s">
        <v>47</v>
      </c>
      <c r="AF105" s="250" t="s">
        <v>72</v>
      </c>
      <c r="AG105" s="250" t="s">
        <v>73</v>
      </c>
      <c r="AH105" s="250" t="s">
        <v>74</v>
      </c>
      <c r="AI105" s="250" t="s">
        <v>53</v>
      </c>
      <c r="AJ105" s="251" t="s">
        <v>53</v>
      </c>
      <c r="AK105" s="251" t="s">
        <v>53</v>
      </c>
      <c r="AL105" s="137"/>
      <c r="AM105" s="137"/>
      <c r="AN105" s="137"/>
      <c r="AO105" s="137"/>
      <c r="AP105" s="137"/>
      <c r="AQ105" s="137"/>
      <c r="AR105" s="137"/>
      <c r="AS105" s="137"/>
      <c r="AT105" s="137"/>
      <c r="AU105" s="137"/>
      <c r="AV105" s="137"/>
      <c r="AW105" s="137"/>
    </row>
    <row r="106" spans="1:49" customFormat="1" ht="84" hidden="1">
      <c r="A106" s="318">
        <v>44102</v>
      </c>
      <c r="B106" s="347" t="str">
        <f>IFERROR(VLOOKUP(A106,[10]Listas!$A$91:$B$107,2,FALSE),"")</f>
        <v>FORTALECIMIENTO DEL ACCESO, LA PERMANENCIA Y LA CALIDAD DE LA EDUCACIÓN SUPERIOR UPN-ATENEA</v>
      </c>
      <c r="C106" s="323" t="s">
        <v>252</v>
      </c>
      <c r="D106" s="360" t="s">
        <v>242</v>
      </c>
      <c r="E106" s="360" t="s">
        <v>243</v>
      </c>
      <c r="F106" s="359" t="s">
        <v>254</v>
      </c>
      <c r="G106" s="371">
        <v>27257476</v>
      </c>
      <c r="H106" s="275" t="s">
        <v>247</v>
      </c>
      <c r="I106" s="372" t="str">
        <f>IFERROR(VLOOKUP(H106,[10]Listas!$B$124:$C$142,2,FALSE),"")</f>
        <v>Recursos propios Atenea JE3</v>
      </c>
      <c r="J106" s="350" t="s">
        <v>205</v>
      </c>
      <c r="K106" s="361" t="s">
        <v>47</v>
      </c>
      <c r="L106" s="301"/>
      <c r="M106" s="274" t="str">
        <f t="shared" si="13"/>
        <v>INV-44102-14</v>
      </c>
      <c r="N106" s="362">
        <v>80111600</v>
      </c>
      <c r="O106" s="353" t="s">
        <v>259</v>
      </c>
      <c r="P106" s="363" t="s">
        <v>55</v>
      </c>
      <c r="Q106" s="363" t="s">
        <v>55</v>
      </c>
      <c r="R106" s="364">
        <v>4</v>
      </c>
      <c r="S106" s="244" t="s">
        <v>45</v>
      </c>
      <c r="T106" s="365" t="s">
        <v>48</v>
      </c>
      <c r="U106" s="374">
        <f t="shared" si="14"/>
        <v>27257476</v>
      </c>
      <c r="V106" s="374">
        <f t="shared" si="15"/>
        <v>27257476</v>
      </c>
      <c r="W106" s="363" t="s">
        <v>43</v>
      </c>
      <c r="X106" s="363" t="s">
        <v>46</v>
      </c>
      <c r="Y106" s="366" t="s">
        <v>242</v>
      </c>
      <c r="Z106" s="367" t="s">
        <v>151</v>
      </c>
      <c r="AA106" s="246" t="s">
        <v>246</v>
      </c>
      <c r="AB106" s="368" t="s">
        <v>535</v>
      </c>
      <c r="AC106" s="369" t="s">
        <v>536</v>
      </c>
      <c r="AD106" s="370" t="s">
        <v>43</v>
      </c>
      <c r="AE106" s="370" t="s">
        <v>47</v>
      </c>
      <c r="AF106" s="250" t="s">
        <v>72</v>
      </c>
      <c r="AG106" s="250" t="s">
        <v>73</v>
      </c>
      <c r="AH106" s="250" t="s">
        <v>74</v>
      </c>
      <c r="AI106" s="250" t="s">
        <v>53</v>
      </c>
      <c r="AJ106" s="251" t="s">
        <v>53</v>
      </c>
      <c r="AK106" s="251" t="s">
        <v>53</v>
      </c>
      <c r="AL106" s="137"/>
      <c r="AM106" s="137"/>
      <c r="AN106" s="137"/>
      <c r="AO106" s="137"/>
      <c r="AP106" s="137"/>
      <c r="AQ106" s="137"/>
      <c r="AR106" s="137"/>
      <c r="AS106" s="137"/>
      <c r="AT106" s="137"/>
      <c r="AU106" s="137"/>
      <c r="AV106" s="137"/>
      <c r="AW106" s="137"/>
    </row>
    <row r="107" spans="1:49" customFormat="1" ht="84" hidden="1">
      <c r="A107" s="318">
        <v>44102</v>
      </c>
      <c r="B107" s="347" t="str">
        <f>IFERROR(VLOOKUP(A107,[10]Listas!$A$91:$B$107,2,FALSE),"")</f>
        <v>FORTALECIMIENTO DEL ACCESO, LA PERMANENCIA Y LA CALIDAD DE LA EDUCACIÓN SUPERIOR UPN-ATENEA</v>
      </c>
      <c r="C107" s="323" t="s">
        <v>252</v>
      </c>
      <c r="D107" s="360" t="s">
        <v>242</v>
      </c>
      <c r="E107" s="360" t="s">
        <v>243</v>
      </c>
      <c r="F107" s="359" t="s">
        <v>254</v>
      </c>
      <c r="G107" s="371">
        <v>27257476</v>
      </c>
      <c r="H107" s="275" t="s">
        <v>247</v>
      </c>
      <c r="I107" s="372" t="str">
        <f>IFERROR(VLOOKUP(H107,[10]Listas!$B$124:$C$142,2,FALSE),"")</f>
        <v>Recursos propios Atenea JE3</v>
      </c>
      <c r="J107" s="350" t="s">
        <v>207</v>
      </c>
      <c r="K107" s="361" t="s">
        <v>47</v>
      </c>
      <c r="L107" s="301"/>
      <c r="M107" s="274" t="str">
        <f t="shared" si="13"/>
        <v>INV-44102-15</v>
      </c>
      <c r="N107" s="362">
        <v>80111600</v>
      </c>
      <c r="O107" s="353" t="s">
        <v>259</v>
      </c>
      <c r="P107" s="363" t="s">
        <v>55</v>
      </c>
      <c r="Q107" s="363" t="s">
        <v>55</v>
      </c>
      <c r="R107" s="364">
        <v>4</v>
      </c>
      <c r="S107" s="244" t="s">
        <v>45</v>
      </c>
      <c r="T107" s="365" t="s">
        <v>48</v>
      </c>
      <c r="U107" s="374">
        <f t="shared" si="14"/>
        <v>27257476</v>
      </c>
      <c r="V107" s="374">
        <f t="shared" si="15"/>
        <v>27257476</v>
      </c>
      <c r="W107" s="363" t="s">
        <v>43</v>
      </c>
      <c r="X107" s="363" t="s">
        <v>46</v>
      </c>
      <c r="Y107" s="366" t="s">
        <v>242</v>
      </c>
      <c r="Z107" s="367" t="s">
        <v>151</v>
      </c>
      <c r="AA107" s="246" t="s">
        <v>246</v>
      </c>
      <c r="AB107" s="368" t="s">
        <v>535</v>
      </c>
      <c r="AC107" s="369" t="s">
        <v>536</v>
      </c>
      <c r="AD107" s="370" t="s">
        <v>43</v>
      </c>
      <c r="AE107" s="370" t="s">
        <v>47</v>
      </c>
      <c r="AF107" s="250" t="s">
        <v>72</v>
      </c>
      <c r="AG107" s="250" t="s">
        <v>73</v>
      </c>
      <c r="AH107" s="250" t="s">
        <v>74</v>
      </c>
      <c r="AI107" s="250" t="s">
        <v>53</v>
      </c>
      <c r="AJ107" s="251" t="s">
        <v>53</v>
      </c>
      <c r="AK107" s="251" t="s">
        <v>53</v>
      </c>
      <c r="AL107" s="137"/>
      <c r="AM107" s="137"/>
      <c r="AN107" s="137"/>
      <c r="AO107" s="137"/>
      <c r="AP107" s="137"/>
      <c r="AQ107" s="137"/>
      <c r="AR107" s="137"/>
      <c r="AS107" s="137"/>
      <c r="AT107" s="137"/>
      <c r="AU107" s="137"/>
      <c r="AV107" s="137"/>
      <c r="AW107" s="137"/>
    </row>
    <row r="108" spans="1:49" customFormat="1" ht="84" hidden="1">
      <c r="A108" s="318">
        <v>44102</v>
      </c>
      <c r="B108" s="347" t="str">
        <f>IFERROR(VLOOKUP(A108,[10]Listas!$A$91:$B$107,2,FALSE),"")</f>
        <v>FORTALECIMIENTO DEL ACCESO, LA PERMANENCIA Y LA CALIDAD DE LA EDUCACIÓN SUPERIOR UPN-ATENEA</v>
      </c>
      <c r="C108" s="323" t="s">
        <v>252</v>
      </c>
      <c r="D108" s="360" t="s">
        <v>242</v>
      </c>
      <c r="E108" s="360" t="s">
        <v>243</v>
      </c>
      <c r="F108" s="359" t="s">
        <v>254</v>
      </c>
      <c r="G108" s="371">
        <v>18172084</v>
      </c>
      <c r="H108" s="275" t="s">
        <v>247</v>
      </c>
      <c r="I108" s="372" t="str">
        <f>IFERROR(VLOOKUP(H108,[10]Listas!$B$124:$C$142,2,FALSE),"")</f>
        <v>Recursos propios Atenea JE3</v>
      </c>
      <c r="J108" s="350" t="s">
        <v>209</v>
      </c>
      <c r="K108" s="361" t="s">
        <v>47</v>
      </c>
      <c r="L108" s="301"/>
      <c r="M108" s="274" t="str">
        <f t="shared" si="13"/>
        <v>INV-44102-16</v>
      </c>
      <c r="N108" s="362">
        <v>80111600</v>
      </c>
      <c r="O108" s="353" t="s">
        <v>259</v>
      </c>
      <c r="P108" s="363" t="s">
        <v>55</v>
      </c>
      <c r="Q108" s="363" t="s">
        <v>55</v>
      </c>
      <c r="R108" s="364">
        <v>4</v>
      </c>
      <c r="S108" s="244" t="s">
        <v>45</v>
      </c>
      <c r="T108" s="365" t="s">
        <v>48</v>
      </c>
      <c r="U108" s="374">
        <f t="shared" si="14"/>
        <v>18172084</v>
      </c>
      <c r="V108" s="374">
        <f t="shared" si="15"/>
        <v>18172084</v>
      </c>
      <c r="W108" s="363" t="s">
        <v>43</v>
      </c>
      <c r="X108" s="363" t="s">
        <v>46</v>
      </c>
      <c r="Y108" s="366" t="s">
        <v>242</v>
      </c>
      <c r="Z108" s="367" t="s">
        <v>151</v>
      </c>
      <c r="AA108" s="246" t="s">
        <v>246</v>
      </c>
      <c r="AB108" s="368" t="s">
        <v>535</v>
      </c>
      <c r="AC108" s="369" t="s">
        <v>536</v>
      </c>
      <c r="AD108" s="370" t="s">
        <v>43</v>
      </c>
      <c r="AE108" s="370" t="s">
        <v>47</v>
      </c>
      <c r="AF108" s="250" t="s">
        <v>72</v>
      </c>
      <c r="AG108" s="250" t="s">
        <v>73</v>
      </c>
      <c r="AH108" s="250" t="s">
        <v>74</v>
      </c>
      <c r="AI108" s="250" t="s">
        <v>53</v>
      </c>
      <c r="AJ108" s="251" t="s">
        <v>53</v>
      </c>
      <c r="AK108" s="251" t="s">
        <v>53</v>
      </c>
      <c r="AL108" s="137"/>
      <c r="AM108" s="137"/>
      <c r="AN108" s="137"/>
      <c r="AO108" s="137"/>
      <c r="AP108" s="137"/>
      <c r="AQ108" s="137"/>
      <c r="AR108" s="137"/>
      <c r="AS108" s="137"/>
      <c r="AT108" s="137"/>
      <c r="AU108" s="137"/>
      <c r="AV108" s="137"/>
      <c r="AW108" s="137"/>
    </row>
    <row r="109" spans="1:49" customFormat="1" ht="84" hidden="1">
      <c r="A109" s="318">
        <v>44102</v>
      </c>
      <c r="B109" s="347" t="str">
        <f>IFERROR(VLOOKUP(A109,[10]Listas!$A$91:$B$107,2,FALSE),"")</f>
        <v>FORTALECIMIENTO DEL ACCESO, LA PERMANENCIA Y LA CALIDAD DE LA EDUCACIÓN SUPERIOR UPN-ATENEA</v>
      </c>
      <c r="C109" s="323" t="s">
        <v>252</v>
      </c>
      <c r="D109" s="360" t="s">
        <v>242</v>
      </c>
      <c r="E109" s="360" t="s">
        <v>243</v>
      </c>
      <c r="F109" s="359" t="s">
        <v>254</v>
      </c>
      <c r="G109" s="371">
        <v>27257476</v>
      </c>
      <c r="H109" s="275" t="s">
        <v>247</v>
      </c>
      <c r="I109" s="372" t="str">
        <f>IFERROR(VLOOKUP(H109,[10]Listas!$B$124:$C$142,2,FALSE),"")</f>
        <v>Recursos propios Atenea JE3</v>
      </c>
      <c r="J109" s="350" t="s">
        <v>211</v>
      </c>
      <c r="K109" s="361" t="s">
        <v>47</v>
      </c>
      <c r="L109" s="301"/>
      <c r="M109" s="274" t="str">
        <f t="shared" si="13"/>
        <v>INV-44102-17</v>
      </c>
      <c r="N109" s="362">
        <v>80111600</v>
      </c>
      <c r="O109" s="353" t="s">
        <v>260</v>
      </c>
      <c r="P109" s="363" t="s">
        <v>52</v>
      </c>
      <c r="Q109" s="363" t="s">
        <v>52</v>
      </c>
      <c r="R109" s="364">
        <v>4</v>
      </c>
      <c r="S109" s="244" t="s">
        <v>45</v>
      </c>
      <c r="T109" s="365" t="s">
        <v>48</v>
      </c>
      <c r="U109" s="374">
        <f t="shared" si="14"/>
        <v>27257476</v>
      </c>
      <c r="V109" s="374">
        <f t="shared" si="15"/>
        <v>27257476</v>
      </c>
      <c r="W109" s="363" t="s">
        <v>43</v>
      </c>
      <c r="X109" s="363" t="s">
        <v>46</v>
      </c>
      <c r="Y109" s="366" t="s">
        <v>242</v>
      </c>
      <c r="Z109" s="367" t="s">
        <v>151</v>
      </c>
      <c r="AA109" s="246" t="s">
        <v>246</v>
      </c>
      <c r="AB109" s="368" t="s">
        <v>535</v>
      </c>
      <c r="AC109" s="369" t="s">
        <v>536</v>
      </c>
      <c r="AD109" s="370" t="s">
        <v>43</v>
      </c>
      <c r="AE109" s="370" t="s">
        <v>47</v>
      </c>
      <c r="AF109" s="250" t="s">
        <v>72</v>
      </c>
      <c r="AG109" s="250" t="s">
        <v>73</v>
      </c>
      <c r="AH109" s="250" t="s">
        <v>74</v>
      </c>
      <c r="AI109" s="250" t="s">
        <v>53</v>
      </c>
      <c r="AJ109" s="251" t="s">
        <v>53</v>
      </c>
      <c r="AK109" s="251" t="s">
        <v>53</v>
      </c>
      <c r="AL109" s="137"/>
      <c r="AM109" s="137"/>
      <c r="AN109" s="137"/>
      <c r="AO109" s="137"/>
      <c r="AP109" s="137"/>
      <c r="AQ109" s="137"/>
      <c r="AR109" s="137"/>
      <c r="AS109" s="137"/>
      <c r="AT109" s="137"/>
      <c r="AU109" s="137"/>
      <c r="AV109" s="137"/>
      <c r="AW109" s="137"/>
    </row>
    <row r="110" spans="1:49" customFormat="1" ht="84" hidden="1">
      <c r="A110" s="318">
        <v>44102</v>
      </c>
      <c r="B110" s="347" t="str">
        <f>IFERROR(VLOOKUP(A110,[10]Listas!$A$91:$B$107,2,FALSE),"")</f>
        <v>FORTALECIMIENTO DEL ACCESO, LA PERMANENCIA Y LA CALIDAD DE LA EDUCACIÓN SUPERIOR UPN-ATENEA</v>
      </c>
      <c r="C110" s="323" t="s">
        <v>252</v>
      </c>
      <c r="D110" s="360" t="s">
        <v>242</v>
      </c>
      <c r="E110" s="360" t="s">
        <v>243</v>
      </c>
      <c r="F110" s="359" t="s">
        <v>254</v>
      </c>
      <c r="G110" s="371">
        <v>27257476</v>
      </c>
      <c r="H110" s="275" t="s">
        <v>247</v>
      </c>
      <c r="I110" s="372" t="str">
        <f>IFERROR(VLOOKUP(H110,[10]Listas!$B$124:$C$142,2,FALSE),"")</f>
        <v>Recursos propios Atenea JE3</v>
      </c>
      <c r="J110" s="350" t="s">
        <v>213</v>
      </c>
      <c r="K110" s="361" t="s">
        <v>47</v>
      </c>
      <c r="L110" s="301"/>
      <c r="M110" s="274" t="str">
        <f t="shared" si="13"/>
        <v>INV-44102-18</v>
      </c>
      <c r="N110" s="362">
        <v>80111600</v>
      </c>
      <c r="O110" s="353" t="s">
        <v>260</v>
      </c>
      <c r="P110" s="363" t="s">
        <v>52</v>
      </c>
      <c r="Q110" s="363" t="s">
        <v>52</v>
      </c>
      <c r="R110" s="364">
        <v>4</v>
      </c>
      <c r="S110" s="244" t="s">
        <v>45</v>
      </c>
      <c r="T110" s="365" t="s">
        <v>48</v>
      </c>
      <c r="U110" s="374">
        <f t="shared" si="14"/>
        <v>27257476</v>
      </c>
      <c r="V110" s="374">
        <f t="shared" si="15"/>
        <v>27257476</v>
      </c>
      <c r="W110" s="363" t="s">
        <v>43</v>
      </c>
      <c r="X110" s="363" t="s">
        <v>46</v>
      </c>
      <c r="Y110" s="366" t="s">
        <v>242</v>
      </c>
      <c r="Z110" s="367" t="s">
        <v>151</v>
      </c>
      <c r="AA110" s="246" t="s">
        <v>246</v>
      </c>
      <c r="AB110" s="368" t="s">
        <v>535</v>
      </c>
      <c r="AC110" s="369" t="s">
        <v>536</v>
      </c>
      <c r="AD110" s="370" t="s">
        <v>43</v>
      </c>
      <c r="AE110" s="370" t="s">
        <v>47</v>
      </c>
      <c r="AF110" s="250" t="s">
        <v>72</v>
      </c>
      <c r="AG110" s="250" t="s">
        <v>73</v>
      </c>
      <c r="AH110" s="250" t="s">
        <v>74</v>
      </c>
      <c r="AI110" s="250" t="s">
        <v>53</v>
      </c>
      <c r="AJ110" s="251" t="s">
        <v>53</v>
      </c>
      <c r="AK110" s="251" t="s">
        <v>53</v>
      </c>
      <c r="AL110" s="137"/>
      <c r="AM110" s="137"/>
      <c r="AN110" s="137"/>
      <c r="AO110" s="137"/>
      <c r="AP110" s="137"/>
      <c r="AQ110" s="137"/>
      <c r="AR110" s="137"/>
      <c r="AS110" s="137"/>
      <c r="AT110" s="137"/>
      <c r="AU110" s="137"/>
      <c r="AV110" s="137"/>
      <c r="AW110" s="137"/>
    </row>
    <row r="111" spans="1:49" customFormat="1" ht="84" hidden="1">
      <c r="A111" s="318">
        <v>44102</v>
      </c>
      <c r="B111" s="347" t="str">
        <f>IFERROR(VLOOKUP(A111,[10]Listas!$A$91:$B$107,2,FALSE),"")</f>
        <v>FORTALECIMIENTO DEL ACCESO, LA PERMANENCIA Y LA CALIDAD DE LA EDUCACIÓN SUPERIOR UPN-ATENEA</v>
      </c>
      <c r="C111" s="323" t="s">
        <v>252</v>
      </c>
      <c r="D111" s="360" t="s">
        <v>242</v>
      </c>
      <c r="E111" s="360" t="s">
        <v>243</v>
      </c>
      <c r="F111" s="359" t="s">
        <v>254</v>
      </c>
      <c r="G111" s="371">
        <v>18172084</v>
      </c>
      <c r="H111" s="275" t="s">
        <v>247</v>
      </c>
      <c r="I111" s="372" t="str">
        <f>IFERROR(VLOOKUP(H111,[10]Listas!$B$124:$C$142,2,FALSE),"")</f>
        <v>Recursos propios Atenea JE3</v>
      </c>
      <c r="J111" s="350" t="s">
        <v>215</v>
      </c>
      <c r="K111" s="361" t="s">
        <v>47</v>
      </c>
      <c r="L111" s="301"/>
      <c r="M111" s="274" t="str">
        <f t="shared" si="13"/>
        <v>INV-44102-19</v>
      </c>
      <c r="N111" s="362">
        <v>80111600</v>
      </c>
      <c r="O111" s="353" t="s">
        <v>260</v>
      </c>
      <c r="P111" s="363" t="s">
        <v>52</v>
      </c>
      <c r="Q111" s="363" t="s">
        <v>52</v>
      </c>
      <c r="R111" s="364">
        <v>4</v>
      </c>
      <c r="S111" s="244" t="s">
        <v>45</v>
      </c>
      <c r="T111" s="365" t="s">
        <v>48</v>
      </c>
      <c r="U111" s="374">
        <f t="shared" si="14"/>
        <v>18172084</v>
      </c>
      <c r="V111" s="374">
        <f t="shared" si="15"/>
        <v>18172084</v>
      </c>
      <c r="W111" s="363" t="s">
        <v>43</v>
      </c>
      <c r="X111" s="363" t="s">
        <v>46</v>
      </c>
      <c r="Y111" s="366" t="s">
        <v>242</v>
      </c>
      <c r="Z111" s="367" t="s">
        <v>151</v>
      </c>
      <c r="AA111" s="246" t="s">
        <v>246</v>
      </c>
      <c r="AB111" s="368" t="s">
        <v>535</v>
      </c>
      <c r="AC111" s="369" t="s">
        <v>536</v>
      </c>
      <c r="AD111" s="370" t="s">
        <v>43</v>
      </c>
      <c r="AE111" s="370" t="s">
        <v>47</v>
      </c>
      <c r="AF111" s="250" t="s">
        <v>72</v>
      </c>
      <c r="AG111" s="250" t="s">
        <v>73</v>
      </c>
      <c r="AH111" s="250" t="s">
        <v>74</v>
      </c>
      <c r="AI111" s="250" t="s">
        <v>53</v>
      </c>
      <c r="AJ111" s="251" t="s">
        <v>53</v>
      </c>
      <c r="AK111" s="251" t="s">
        <v>53</v>
      </c>
      <c r="AL111" s="137"/>
      <c r="AM111" s="137"/>
      <c r="AN111" s="137"/>
      <c r="AO111" s="137"/>
      <c r="AP111" s="137"/>
      <c r="AQ111" s="137"/>
      <c r="AR111" s="137"/>
      <c r="AS111" s="137"/>
      <c r="AT111" s="137"/>
      <c r="AU111" s="137"/>
      <c r="AV111" s="137"/>
      <c r="AW111" s="137"/>
    </row>
    <row r="112" spans="1:49" customFormat="1" ht="51" hidden="1">
      <c r="A112" s="318">
        <v>44102</v>
      </c>
      <c r="B112" s="347" t="str">
        <f>IFERROR(VLOOKUP(A112,[11]Listas!$A$91:$B$107,2,FALSE),"")</f>
        <v>FORTALECIMIENTO DEL ACCESO, LA PERMANENCIA Y LA CALIDAD DE LA EDUCACIÓN SUPERIOR UPN-ATENEA</v>
      </c>
      <c r="C112" s="323" t="s">
        <v>262</v>
      </c>
      <c r="D112" s="360" t="s">
        <v>242</v>
      </c>
      <c r="E112" s="360" t="s">
        <v>243</v>
      </c>
      <c r="F112" s="360" t="s">
        <v>254</v>
      </c>
      <c r="G112" s="349">
        <f>81881280</f>
        <v>81881280</v>
      </c>
      <c r="H112" s="256">
        <v>20.07</v>
      </c>
      <c r="I112" s="243" t="str">
        <f>IFERROR(VLOOKUP(H112,[11]Listas!$B$124:$C$142,2,FALSE),"")</f>
        <v>Recursos Propios - Atenea</v>
      </c>
      <c r="J112" s="350" t="s">
        <v>217</v>
      </c>
      <c r="K112" s="375" t="s">
        <v>43</v>
      </c>
      <c r="L112" s="301"/>
      <c r="M112" s="270" t="str">
        <f t="shared" si="13"/>
        <v>INV-44102-20</v>
      </c>
      <c r="N112" s="362" t="s">
        <v>70</v>
      </c>
      <c r="O112" s="353" t="s">
        <v>264</v>
      </c>
      <c r="P112" s="376" t="s">
        <v>44</v>
      </c>
      <c r="Q112" s="376" t="s">
        <v>120</v>
      </c>
      <c r="R112" s="377" t="s">
        <v>70</v>
      </c>
      <c r="S112" s="376" t="s">
        <v>70</v>
      </c>
      <c r="T112" s="378" t="s">
        <v>70</v>
      </c>
      <c r="U112" s="356">
        <f t="shared" si="11"/>
        <v>81881280</v>
      </c>
      <c r="V112" s="356">
        <f t="shared" si="12"/>
        <v>81881280</v>
      </c>
      <c r="W112" s="376" t="s">
        <v>43</v>
      </c>
      <c r="X112" s="376" t="s">
        <v>46</v>
      </c>
      <c r="Y112" s="366" t="s">
        <v>242</v>
      </c>
      <c r="Z112" s="367" t="s">
        <v>151</v>
      </c>
      <c r="AA112" s="246" t="s">
        <v>246</v>
      </c>
      <c r="AB112" s="368" t="s">
        <v>535</v>
      </c>
      <c r="AC112" s="379" t="s">
        <v>536</v>
      </c>
      <c r="AD112" s="370" t="s">
        <v>43</v>
      </c>
      <c r="AE112" s="370" t="s">
        <v>47</v>
      </c>
      <c r="AF112" s="250" t="s">
        <v>72</v>
      </c>
      <c r="AG112" s="250" t="s">
        <v>73</v>
      </c>
      <c r="AH112" s="250" t="s">
        <v>74</v>
      </c>
      <c r="AI112" s="250" t="s">
        <v>53</v>
      </c>
      <c r="AJ112" s="251" t="s">
        <v>53</v>
      </c>
      <c r="AK112" s="251" t="s">
        <v>53</v>
      </c>
      <c r="AL112" s="137"/>
      <c r="AM112" s="137"/>
      <c r="AN112" s="137"/>
      <c r="AO112" s="137"/>
      <c r="AP112" s="137"/>
      <c r="AQ112" s="137"/>
      <c r="AR112" s="137"/>
      <c r="AS112" s="137"/>
      <c r="AT112" s="137"/>
      <c r="AU112" s="137"/>
      <c r="AV112" s="137"/>
      <c r="AW112" s="137"/>
    </row>
    <row r="113" spans="1:49" customFormat="1" ht="51" hidden="1">
      <c r="A113" s="318">
        <v>44102</v>
      </c>
      <c r="B113" s="347" t="str">
        <f>IFERROR(VLOOKUP(A113,[11]Listas!$A$91:$B$107,2,FALSE),"")</f>
        <v>FORTALECIMIENTO DEL ACCESO, LA PERMANENCIA Y LA CALIDAD DE LA EDUCACIÓN SUPERIOR UPN-ATENEA</v>
      </c>
      <c r="C113" s="323" t="s">
        <v>262</v>
      </c>
      <c r="D113" s="360" t="s">
        <v>242</v>
      </c>
      <c r="E113" s="360" t="s">
        <v>243</v>
      </c>
      <c r="F113" s="360" t="s">
        <v>254</v>
      </c>
      <c r="G113" s="349">
        <f>81881280</f>
        <v>81881280</v>
      </c>
      <c r="H113" s="256">
        <v>20.07</v>
      </c>
      <c r="I113" s="243" t="str">
        <f>IFERROR(VLOOKUP(H113,[11]Listas!$B$124:$C$142,2,FALSE),"")</f>
        <v>Recursos Propios - Atenea</v>
      </c>
      <c r="J113" s="350" t="s">
        <v>261</v>
      </c>
      <c r="K113" s="375" t="s">
        <v>43</v>
      </c>
      <c r="L113" s="301"/>
      <c r="M113" s="270" t="str">
        <f t="shared" si="13"/>
        <v>INV-44102-21</v>
      </c>
      <c r="N113" s="362" t="s">
        <v>70</v>
      </c>
      <c r="O113" s="353" t="s">
        <v>266</v>
      </c>
      <c r="P113" s="376" t="s">
        <v>78</v>
      </c>
      <c r="Q113" s="376" t="s">
        <v>163</v>
      </c>
      <c r="R113" s="377" t="s">
        <v>70</v>
      </c>
      <c r="S113" s="376" t="s">
        <v>70</v>
      </c>
      <c r="T113" s="378" t="s">
        <v>70</v>
      </c>
      <c r="U113" s="356">
        <f t="shared" si="11"/>
        <v>81881280</v>
      </c>
      <c r="V113" s="356">
        <f t="shared" si="12"/>
        <v>81881280</v>
      </c>
      <c r="W113" s="376" t="s">
        <v>43</v>
      </c>
      <c r="X113" s="376" t="s">
        <v>46</v>
      </c>
      <c r="Y113" s="366" t="s">
        <v>242</v>
      </c>
      <c r="Z113" s="367" t="s">
        <v>151</v>
      </c>
      <c r="AA113" s="246" t="s">
        <v>246</v>
      </c>
      <c r="AB113" s="368" t="s">
        <v>539</v>
      </c>
      <c r="AC113" s="379" t="s">
        <v>536</v>
      </c>
      <c r="AD113" s="370" t="s">
        <v>43</v>
      </c>
      <c r="AE113" s="370" t="s">
        <v>47</v>
      </c>
      <c r="AF113" s="250" t="s">
        <v>72</v>
      </c>
      <c r="AG113" s="250" t="s">
        <v>73</v>
      </c>
      <c r="AH113" s="250" t="s">
        <v>74</v>
      </c>
      <c r="AI113" s="250" t="s">
        <v>53</v>
      </c>
      <c r="AJ113" s="251" t="s">
        <v>53</v>
      </c>
      <c r="AK113" s="251" t="s">
        <v>53</v>
      </c>
      <c r="AL113" s="137"/>
      <c r="AM113" s="137"/>
      <c r="AN113" s="137"/>
      <c r="AO113" s="137"/>
      <c r="AP113" s="137"/>
      <c r="AQ113" s="137"/>
      <c r="AR113" s="137"/>
      <c r="AS113" s="137"/>
      <c r="AT113" s="137"/>
      <c r="AU113" s="137"/>
      <c r="AV113" s="137"/>
      <c r="AW113" s="137"/>
    </row>
    <row r="114" spans="1:49" customFormat="1" ht="51" hidden="1">
      <c r="A114" s="318">
        <v>44102</v>
      </c>
      <c r="B114" s="347" t="str">
        <f>IFERROR(VLOOKUP(A114,[11]Listas!$A$91:$B$107,2,FALSE),"")</f>
        <v>FORTALECIMIENTO DEL ACCESO, LA PERMANENCIA Y LA CALIDAD DE LA EDUCACIÓN SUPERIOR UPN-ATENEA</v>
      </c>
      <c r="C114" s="323" t="s">
        <v>267</v>
      </c>
      <c r="D114" s="360" t="s">
        <v>242</v>
      </c>
      <c r="E114" s="360" t="s">
        <v>243</v>
      </c>
      <c r="F114" s="360" t="s">
        <v>254</v>
      </c>
      <c r="G114" s="349">
        <f>81881280</f>
        <v>81881280</v>
      </c>
      <c r="H114" s="256">
        <v>20.07</v>
      </c>
      <c r="I114" s="243" t="str">
        <f>IFERROR(VLOOKUP(H114,[11]Listas!$B$124:$C$142,2,FALSE),"")</f>
        <v>Recursos Propios - Atenea</v>
      </c>
      <c r="J114" s="350" t="s">
        <v>263</v>
      </c>
      <c r="K114" s="375" t="s">
        <v>43</v>
      </c>
      <c r="L114" s="301"/>
      <c r="M114" s="270" t="str">
        <f t="shared" si="13"/>
        <v>INV-44102-22</v>
      </c>
      <c r="N114" s="362" t="s">
        <v>70</v>
      </c>
      <c r="O114" s="353" t="s">
        <v>269</v>
      </c>
      <c r="P114" s="376" t="s">
        <v>44</v>
      </c>
      <c r="Q114" s="376" t="s">
        <v>120</v>
      </c>
      <c r="R114" s="377" t="s">
        <v>70</v>
      </c>
      <c r="S114" s="376" t="s">
        <v>70</v>
      </c>
      <c r="T114" s="378" t="s">
        <v>70</v>
      </c>
      <c r="U114" s="356">
        <f t="shared" si="11"/>
        <v>81881280</v>
      </c>
      <c r="V114" s="356">
        <f t="shared" si="12"/>
        <v>81881280</v>
      </c>
      <c r="W114" s="376" t="s">
        <v>43</v>
      </c>
      <c r="X114" s="376" t="s">
        <v>46</v>
      </c>
      <c r="Y114" s="366" t="s">
        <v>242</v>
      </c>
      <c r="Z114" s="367" t="s">
        <v>151</v>
      </c>
      <c r="AA114" s="246" t="s">
        <v>246</v>
      </c>
      <c r="AB114" s="368" t="s">
        <v>540</v>
      </c>
      <c r="AC114" s="379" t="s">
        <v>536</v>
      </c>
      <c r="AD114" s="370" t="s">
        <v>43</v>
      </c>
      <c r="AE114" s="370" t="s">
        <v>47</v>
      </c>
      <c r="AF114" s="250" t="s">
        <v>72</v>
      </c>
      <c r="AG114" s="250" t="s">
        <v>73</v>
      </c>
      <c r="AH114" s="250" t="s">
        <v>74</v>
      </c>
      <c r="AI114" s="250" t="s">
        <v>53</v>
      </c>
      <c r="AJ114" s="251" t="s">
        <v>53</v>
      </c>
      <c r="AK114" s="251" t="s">
        <v>53</v>
      </c>
      <c r="AL114" s="137"/>
      <c r="AM114" s="137"/>
      <c r="AN114" s="137"/>
      <c r="AO114" s="137"/>
      <c r="AP114" s="137"/>
      <c r="AQ114" s="137"/>
      <c r="AR114" s="137"/>
      <c r="AS114" s="137"/>
      <c r="AT114" s="137"/>
      <c r="AU114" s="137"/>
      <c r="AV114" s="137"/>
      <c r="AW114" s="137"/>
    </row>
    <row r="115" spans="1:49" customFormat="1" ht="51" hidden="1">
      <c r="A115" s="318">
        <v>44102</v>
      </c>
      <c r="B115" s="347" t="str">
        <f>IFERROR(VLOOKUP(A115,[11]Listas!$A$91:$B$107,2,FALSE),"")</f>
        <v>FORTALECIMIENTO DEL ACCESO, LA PERMANENCIA Y LA CALIDAD DE LA EDUCACIÓN SUPERIOR UPN-ATENEA</v>
      </c>
      <c r="C115" s="323" t="s">
        <v>267</v>
      </c>
      <c r="D115" s="360" t="s">
        <v>242</v>
      </c>
      <c r="E115" s="360" t="s">
        <v>243</v>
      </c>
      <c r="F115" s="360" t="s">
        <v>254</v>
      </c>
      <c r="G115" s="349">
        <f>81881280</f>
        <v>81881280</v>
      </c>
      <c r="H115" s="256">
        <v>20.07</v>
      </c>
      <c r="I115" s="243" t="str">
        <f>IFERROR(VLOOKUP(H115,[11]Listas!$B$124:$C$142,2,FALSE),"")</f>
        <v>Recursos Propios - Atenea</v>
      </c>
      <c r="J115" s="350" t="s">
        <v>265</v>
      </c>
      <c r="K115" s="375" t="s">
        <v>43</v>
      </c>
      <c r="L115" s="301"/>
      <c r="M115" s="270" t="str">
        <f t="shared" si="13"/>
        <v>INV-44102-23</v>
      </c>
      <c r="N115" s="362" t="s">
        <v>70</v>
      </c>
      <c r="O115" s="353" t="s">
        <v>271</v>
      </c>
      <c r="P115" s="376" t="s">
        <v>78</v>
      </c>
      <c r="Q115" s="376" t="s">
        <v>163</v>
      </c>
      <c r="R115" s="377" t="s">
        <v>70</v>
      </c>
      <c r="S115" s="376" t="s">
        <v>70</v>
      </c>
      <c r="T115" s="378" t="s">
        <v>70</v>
      </c>
      <c r="U115" s="356">
        <f t="shared" si="11"/>
        <v>81881280</v>
      </c>
      <c r="V115" s="356">
        <f t="shared" si="12"/>
        <v>81881280</v>
      </c>
      <c r="W115" s="376" t="s">
        <v>43</v>
      </c>
      <c r="X115" s="376" t="s">
        <v>46</v>
      </c>
      <c r="Y115" s="366" t="s">
        <v>242</v>
      </c>
      <c r="Z115" s="367" t="s">
        <v>151</v>
      </c>
      <c r="AA115" s="246" t="s">
        <v>246</v>
      </c>
      <c r="AB115" s="368" t="s">
        <v>541</v>
      </c>
      <c r="AC115" s="379" t="s">
        <v>536</v>
      </c>
      <c r="AD115" s="370" t="s">
        <v>43</v>
      </c>
      <c r="AE115" s="370" t="s">
        <v>47</v>
      </c>
      <c r="AF115" s="250" t="s">
        <v>72</v>
      </c>
      <c r="AG115" s="250" t="s">
        <v>73</v>
      </c>
      <c r="AH115" s="250" t="s">
        <v>74</v>
      </c>
      <c r="AI115" s="250" t="s">
        <v>53</v>
      </c>
      <c r="AJ115" s="251" t="s">
        <v>53</v>
      </c>
      <c r="AK115" s="251" t="s">
        <v>53</v>
      </c>
      <c r="AL115" s="137"/>
      <c r="AM115" s="137"/>
      <c r="AN115" s="137"/>
      <c r="AO115" s="137"/>
      <c r="AP115" s="137"/>
      <c r="AQ115" s="137"/>
      <c r="AR115" s="137"/>
      <c r="AS115" s="137"/>
      <c r="AT115" s="137"/>
      <c r="AU115" s="137"/>
      <c r="AV115" s="137"/>
      <c r="AW115" s="137"/>
    </row>
    <row r="116" spans="1:49" customFormat="1" ht="51" hidden="1">
      <c r="A116" s="318">
        <v>44102</v>
      </c>
      <c r="B116" s="347" t="s">
        <v>272</v>
      </c>
      <c r="C116" s="323" t="s">
        <v>273</v>
      </c>
      <c r="D116" s="360" t="s">
        <v>242</v>
      </c>
      <c r="E116" s="360" t="s">
        <v>243</v>
      </c>
      <c r="F116" s="360" t="s">
        <v>254</v>
      </c>
      <c r="G116" s="349">
        <v>113458644</v>
      </c>
      <c r="H116" s="256" t="s">
        <v>247</v>
      </c>
      <c r="I116" s="243" t="str">
        <f>IFERROR(VLOOKUP(H116,[11]Listas!$B$124:$C$142,2,FALSE),"")</f>
        <v>Recursos propios Atenea JE3</v>
      </c>
      <c r="J116" s="350" t="s">
        <v>268</v>
      </c>
      <c r="K116" s="375" t="s">
        <v>43</v>
      </c>
      <c r="L116" s="301"/>
      <c r="M116" s="270" t="str">
        <f t="shared" si="13"/>
        <v>INV-44102-24</v>
      </c>
      <c r="N116" s="362" t="s">
        <v>70</v>
      </c>
      <c r="O116" s="353" t="s">
        <v>275</v>
      </c>
      <c r="P116" s="376" t="s">
        <v>44</v>
      </c>
      <c r="Q116" s="376" t="s">
        <v>120</v>
      </c>
      <c r="R116" s="377" t="s">
        <v>70</v>
      </c>
      <c r="S116" s="376" t="s">
        <v>70</v>
      </c>
      <c r="T116" s="378" t="s">
        <v>70</v>
      </c>
      <c r="U116" s="356">
        <f t="shared" si="11"/>
        <v>113458644</v>
      </c>
      <c r="V116" s="356">
        <f t="shared" si="12"/>
        <v>113458644</v>
      </c>
      <c r="W116" s="376" t="s">
        <v>43</v>
      </c>
      <c r="X116" s="376" t="s">
        <v>46</v>
      </c>
      <c r="Y116" s="366" t="s">
        <v>242</v>
      </c>
      <c r="Z116" s="367" t="s">
        <v>151</v>
      </c>
      <c r="AA116" s="246" t="s">
        <v>246</v>
      </c>
      <c r="AB116" s="368" t="s">
        <v>542</v>
      </c>
      <c r="AC116" s="379" t="s">
        <v>536</v>
      </c>
      <c r="AD116" s="370" t="s">
        <v>43</v>
      </c>
      <c r="AE116" s="370" t="s">
        <v>47</v>
      </c>
      <c r="AF116" s="250" t="s">
        <v>72</v>
      </c>
      <c r="AG116" s="250" t="s">
        <v>73</v>
      </c>
      <c r="AH116" s="250" t="s">
        <v>74</v>
      </c>
      <c r="AI116" s="250" t="s">
        <v>53</v>
      </c>
      <c r="AJ116" s="251" t="s">
        <v>53</v>
      </c>
      <c r="AK116" s="251" t="s">
        <v>53</v>
      </c>
      <c r="AL116" s="137"/>
      <c r="AM116" s="137"/>
      <c r="AN116" s="137"/>
      <c r="AO116" s="137"/>
      <c r="AP116" s="137"/>
      <c r="AQ116" s="137"/>
      <c r="AR116" s="137"/>
      <c r="AS116" s="137"/>
      <c r="AT116" s="137"/>
      <c r="AU116" s="137"/>
      <c r="AV116" s="137"/>
      <c r="AW116" s="137"/>
    </row>
    <row r="117" spans="1:49" customFormat="1" ht="51" hidden="1">
      <c r="A117" s="318">
        <v>44102</v>
      </c>
      <c r="B117" s="347" t="s">
        <v>272</v>
      </c>
      <c r="C117" s="323" t="s">
        <v>273</v>
      </c>
      <c r="D117" s="360" t="s">
        <v>242</v>
      </c>
      <c r="E117" s="360" t="s">
        <v>243</v>
      </c>
      <c r="F117" s="360" t="s">
        <v>254</v>
      </c>
      <c r="G117" s="349">
        <v>113458644</v>
      </c>
      <c r="H117" s="275" t="s">
        <v>247</v>
      </c>
      <c r="I117" s="372" t="str">
        <f>IFERROR(VLOOKUP(H117,[11]Listas!$B$124:$C$142,2,FALSE),"")</f>
        <v>Recursos propios Atenea JE3</v>
      </c>
      <c r="J117" s="350" t="s">
        <v>270</v>
      </c>
      <c r="K117" s="380" t="s">
        <v>43</v>
      </c>
      <c r="L117" s="373"/>
      <c r="M117" s="261" t="str">
        <f t="shared" si="13"/>
        <v>INV-44102-25</v>
      </c>
      <c r="N117" s="362" t="s">
        <v>70</v>
      </c>
      <c r="O117" s="381" t="s">
        <v>277</v>
      </c>
      <c r="P117" s="382" t="s">
        <v>78</v>
      </c>
      <c r="Q117" s="382" t="s">
        <v>163</v>
      </c>
      <c r="R117" s="383" t="s">
        <v>70</v>
      </c>
      <c r="S117" s="382" t="s">
        <v>70</v>
      </c>
      <c r="T117" s="384" t="s">
        <v>70</v>
      </c>
      <c r="U117" s="356">
        <f t="shared" si="11"/>
        <v>113458644</v>
      </c>
      <c r="V117" s="356">
        <f t="shared" si="12"/>
        <v>113458644</v>
      </c>
      <c r="W117" s="382" t="s">
        <v>43</v>
      </c>
      <c r="X117" s="382" t="s">
        <v>46</v>
      </c>
      <c r="Y117" s="385" t="s">
        <v>242</v>
      </c>
      <c r="Z117" s="386" t="s">
        <v>151</v>
      </c>
      <c r="AA117" s="387" t="s">
        <v>246</v>
      </c>
      <c r="AB117" s="388" t="s">
        <v>543</v>
      </c>
      <c r="AC117" s="389" t="s">
        <v>536</v>
      </c>
      <c r="AD117" s="390" t="s">
        <v>43</v>
      </c>
      <c r="AE117" s="390" t="s">
        <v>47</v>
      </c>
      <c r="AF117" s="391" t="s">
        <v>72</v>
      </c>
      <c r="AG117" s="391" t="s">
        <v>73</v>
      </c>
      <c r="AH117" s="391" t="s">
        <v>74</v>
      </c>
      <c r="AI117" s="391" t="s">
        <v>53</v>
      </c>
      <c r="AJ117" s="392" t="s">
        <v>53</v>
      </c>
      <c r="AK117" s="392" t="s">
        <v>53</v>
      </c>
      <c r="AL117" s="137"/>
      <c r="AM117" s="137"/>
      <c r="AN117" s="137"/>
      <c r="AO117" s="137"/>
      <c r="AP117" s="137"/>
      <c r="AQ117" s="137"/>
      <c r="AR117" s="137"/>
      <c r="AS117" s="137"/>
      <c r="AT117" s="137"/>
      <c r="AU117" s="137"/>
      <c r="AV117" s="137"/>
      <c r="AW117" s="137"/>
    </row>
    <row r="118" spans="1:49" customFormat="1" ht="51" hidden="1">
      <c r="A118" s="318">
        <v>44103</v>
      </c>
      <c r="B118" s="347" t="s">
        <v>272</v>
      </c>
      <c r="C118" s="323" t="s">
        <v>273</v>
      </c>
      <c r="D118" s="360" t="s">
        <v>242</v>
      </c>
      <c r="E118" s="360" t="s">
        <v>243</v>
      </c>
      <c r="F118" s="360" t="s">
        <v>254</v>
      </c>
      <c r="G118" s="349">
        <v>135289440</v>
      </c>
      <c r="H118" s="256" t="s">
        <v>278</v>
      </c>
      <c r="I118" s="243" t="s">
        <v>279</v>
      </c>
      <c r="J118" s="350" t="s">
        <v>274</v>
      </c>
      <c r="K118" s="393" t="s">
        <v>43</v>
      </c>
      <c r="L118" s="301"/>
      <c r="M118" s="261" t="str">
        <f t="shared" si="13"/>
        <v>INV-44103-26</v>
      </c>
      <c r="N118" s="362" t="s">
        <v>70</v>
      </c>
      <c r="O118" s="381" t="s">
        <v>281</v>
      </c>
      <c r="P118" s="382" t="s">
        <v>78</v>
      </c>
      <c r="Q118" s="382" t="s">
        <v>163</v>
      </c>
      <c r="R118" s="383" t="s">
        <v>70</v>
      </c>
      <c r="S118" s="382" t="s">
        <v>70</v>
      </c>
      <c r="T118" s="384" t="s">
        <v>70</v>
      </c>
      <c r="U118" s="356">
        <f t="shared" si="11"/>
        <v>135289440</v>
      </c>
      <c r="V118" s="356">
        <f t="shared" si="12"/>
        <v>135289440</v>
      </c>
      <c r="W118" s="382" t="s">
        <v>43</v>
      </c>
      <c r="X118" s="382" t="s">
        <v>46</v>
      </c>
      <c r="Y118" s="385" t="s">
        <v>242</v>
      </c>
      <c r="Z118" s="386" t="s">
        <v>151</v>
      </c>
      <c r="AA118" s="387" t="s">
        <v>246</v>
      </c>
      <c r="AB118" s="388" t="s">
        <v>543</v>
      </c>
      <c r="AC118" s="389" t="s">
        <v>536</v>
      </c>
      <c r="AD118" s="390" t="s">
        <v>43</v>
      </c>
      <c r="AE118" s="390" t="s">
        <v>47</v>
      </c>
      <c r="AF118" s="391" t="s">
        <v>72</v>
      </c>
      <c r="AG118" s="391" t="s">
        <v>73</v>
      </c>
      <c r="AH118" s="391" t="s">
        <v>74</v>
      </c>
      <c r="AI118" s="391" t="s">
        <v>53</v>
      </c>
      <c r="AJ118" s="392" t="s">
        <v>53</v>
      </c>
      <c r="AK118" s="392" t="s">
        <v>53</v>
      </c>
      <c r="AL118" s="137"/>
      <c r="AM118" s="137"/>
      <c r="AN118" s="137"/>
      <c r="AO118" s="137"/>
      <c r="AP118" s="137"/>
      <c r="AQ118" s="137"/>
      <c r="AR118" s="137"/>
      <c r="AS118" s="137"/>
      <c r="AT118" s="137"/>
      <c r="AU118" s="137"/>
      <c r="AV118" s="137"/>
      <c r="AW118" s="137"/>
    </row>
    <row r="119" spans="1:49" customFormat="1" ht="67.5" hidden="1">
      <c r="A119" s="256">
        <v>44102</v>
      </c>
      <c r="B119" s="304" t="str">
        <f>IFERROR(VLOOKUP(A119,[9]Listas!$A$91:$B$107,2,FALSE),"")</f>
        <v>FORTALECIMIENTO DEL ACCESO, LA PERMANENCIA Y LA CALIDAD DE LA EDUCACIÓN SUPERIOR UPN-ATENEA</v>
      </c>
      <c r="C119" s="310" t="s">
        <v>241</v>
      </c>
      <c r="D119" s="252" t="s">
        <v>242</v>
      </c>
      <c r="E119" s="252" t="s">
        <v>243</v>
      </c>
      <c r="F119" s="359" t="s">
        <v>86</v>
      </c>
      <c r="G119" s="349">
        <v>358578079</v>
      </c>
      <c r="H119" s="256" t="s">
        <v>278</v>
      </c>
      <c r="I119" s="243" t="s">
        <v>279</v>
      </c>
      <c r="J119" s="350" t="s">
        <v>276</v>
      </c>
      <c r="K119" s="351" t="s">
        <v>43</v>
      </c>
      <c r="L119" s="301"/>
      <c r="M119" s="270" t="str">
        <f t="shared" si="13"/>
        <v>INV-44102-27</v>
      </c>
      <c r="N119" s="358" t="s">
        <v>70</v>
      </c>
      <c r="O119" s="353" t="s">
        <v>283</v>
      </c>
      <c r="P119" s="244" t="s">
        <v>51</v>
      </c>
      <c r="Q119" s="244" t="s">
        <v>52</v>
      </c>
      <c r="R119" s="354">
        <v>4</v>
      </c>
      <c r="S119" s="244" t="s">
        <v>45</v>
      </c>
      <c r="T119" s="355" t="s">
        <v>70</v>
      </c>
      <c r="U119" s="356">
        <f t="shared" si="11"/>
        <v>358578079</v>
      </c>
      <c r="V119" s="356">
        <f t="shared" si="12"/>
        <v>358578079</v>
      </c>
      <c r="W119" s="244" t="s">
        <v>43</v>
      </c>
      <c r="X119" s="244" t="s">
        <v>46</v>
      </c>
      <c r="Y119" s="242" t="s">
        <v>242</v>
      </c>
      <c r="Z119" s="245" t="s">
        <v>151</v>
      </c>
      <c r="AA119" s="246" t="s">
        <v>246</v>
      </c>
      <c r="AB119" s="247" t="s">
        <v>535</v>
      </c>
      <c r="AC119" s="357" t="s">
        <v>536</v>
      </c>
      <c r="AD119" s="249" t="s">
        <v>43</v>
      </c>
      <c r="AE119" s="249" t="s">
        <v>47</v>
      </c>
      <c r="AF119" s="250" t="s">
        <v>72</v>
      </c>
      <c r="AG119" s="250" t="s">
        <v>73</v>
      </c>
      <c r="AH119" s="250" t="s">
        <v>74</v>
      </c>
      <c r="AI119" s="250" t="s">
        <v>53</v>
      </c>
      <c r="AJ119" s="251" t="s">
        <v>53</v>
      </c>
      <c r="AK119" s="251" t="s">
        <v>53</v>
      </c>
      <c r="AL119" s="137"/>
      <c r="AM119" s="137"/>
      <c r="AN119" s="137"/>
      <c r="AO119" s="137"/>
      <c r="AP119" s="137"/>
      <c r="AQ119" s="137"/>
      <c r="AR119" s="137"/>
      <c r="AS119" s="137"/>
      <c r="AT119" s="137"/>
      <c r="AU119" s="137"/>
      <c r="AV119" s="137"/>
      <c r="AW119" s="137"/>
    </row>
    <row r="120" spans="1:49" customFormat="1" ht="67.5" hidden="1">
      <c r="A120" s="256">
        <v>44102</v>
      </c>
      <c r="B120" s="304" t="str">
        <f>IFERROR(VLOOKUP(A120,[9]Listas!$A$91:$B$107,2,FALSE),"")</f>
        <v>FORTALECIMIENTO DEL ACCESO, LA PERMANENCIA Y LA CALIDAD DE LA EDUCACIÓN SUPERIOR UPN-ATENEA</v>
      </c>
      <c r="C120" s="310" t="s">
        <v>249</v>
      </c>
      <c r="D120" s="252" t="s">
        <v>242</v>
      </c>
      <c r="E120" s="252" t="s">
        <v>243</v>
      </c>
      <c r="F120" s="359" t="s">
        <v>86</v>
      </c>
      <c r="G120" s="349">
        <v>115568640</v>
      </c>
      <c r="H120" s="256" t="s">
        <v>278</v>
      </c>
      <c r="I120" s="243" t="s">
        <v>279</v>
      </c>
      <c r="J120" s="350" t="s">
        <v>280</v>
      </c>
      <c r="K120" s="351" t="s">
        <v>43</v>
      </c>
      <c r="L120" s="301"/>
      <c r="M120" s="270" t="str">
        <f t="shared" si="13"/>
        <v>INV-44102-28</v>
      </c>
      <c r="N120" s="358" t="s">
        <v>70</v>
      </c>
      <c r="O120" s="353" t="s">
        <v>285</v>
      </c>
      <c r="P120" s="244" t="s">
        <v>51</v>
      </c>
      <c r="Q120" s="244" t="s">
        <v>52</v>
      </c>
      <c r="R120" s="354">
        <v>4</v>
      </c>
      <c r="S120" s="244" t="s">
        <v>45</v>
      </c>
      <c r="T120" s="355" t="s">
        <v>70</v>
      </c>
      <c r="U120" s="356">
        <f t="shared" si="11"/>
        <v>115568640</v>
      </c>
      <c r="V120" s="356">
        <f t="shared" si="12"/>
        <v>115568640</v>
      </c>
      <c r="W120" s="244" t="s">
        <v>43</v>
      </c>
      <c r="X120" s="244" t="s">
        <v>46</v>
      </c>
      <c r="Y120" s="242" t="s">
        <v>242</v>
      </c>
      <c r="Z120" s="245" t="s">
        <v>151</v>
      </c>
      <c r="AA120" s="246" t="s">
        <v>246</v>
      </c>
      <c r="AB120" s="247" t="s">
        <v>535</v>
      </c>
      <c r="AC120" s="357" t="s">
        <v>536</v>
      </c>
      <c r="AD120" s="249" t="s">
        <v>43</v>
      </c>
      <c r="AE120" s="249" t="s">
        <v>47</v>
      </c>
      <c r="AF120" s="250" t="s">
        <v>72</v>
      </c>
      <c r="AG120" s="250" t="s">
        <v>73</v>
      </c>
      <c r="AH120" s="250" t="s">
        <v>74</v>
      </c>
      <c r="AI120" s="250" t="s">
        <v>53</v>
      </c>
      <c r="AJ120" s="251" t="s">
        <v>53</v>
      </c>
      <c r="AK120" s="251" t="s">
        <v>53</v>
      </c>
      <c r="AL120" s="137"/>
      <c r="AM120" s="137"/>
      <c r="AN120" s="137"/>
      <c r="AO120" s="137"/>
      <c r="AP120" s="137"/>
      <c r="AQ120" s="137"/>
      <c r="AR120" s="137"/>
      <c r="AS120" s="137"/>
      <c r="AT120" s="137"/>
      <c r="AU120" s="137"/>
      <c r="AV120" s="137"/>
      <c r="AW120" s="137"/>
    </row>
    <row r="121" spans="1:49" customFormat="1" ht="45" hidden="1">
      <c r="A121" s="256">
        <v>44102</v>
      </c>
      <c r="B121" s="304" t="str">
        <f>IFERROR(VLOOKUP(A121,[9]Listas!$A$91:$B$107,2,FALSE),"")</f>
        <v>FORTALECIMIENTO DEL ACCESO, LA PERMANENCIA Y LA CALIDAD DE LA EDUCACIÓN SUPERIOR UPN-ATENEA</v>
      </c>
      <c r="C121" s="310" t="s">
        <v>251</v>
      </c>
      <c r="D121" s="252" t="s">
        <v>242</v>
      </c>
      <c r="E121" s="252" t="s">
        <v>243</v>
      </c>
      <c r="F121" s="359" t="s">
        <v>90</v>
      </c>
      <c r="G121" s="349">
        <v>97600000</v>
      </c>
      <c r="H121" s="256" t="s">
        <v>278</v>
      </c>
      <c r="I121" s="243" t="s">
        <v>279</v>
      </c>
      <c r="J121" s="350" t="s">
        <v>282</v>
      </c>
      <c r="K121" s="351" t="s">
        <v>43</v>
      </c>
      <c r="L121" s="301"/>
      <c r="M121" s="270" t="str">
        <f t="shared" si="13"/>
        <v>INV-44102-29</v>
      </c>
      <c r="N121" s="358" t="s">
        <v>70</v>
      </c>
      <c r="O121" s="353" t="s">
        <v>287</v>
      </c>
      <c r="P121" s="244" t="s">
        <v>51</v>
      </c>
      <c r="Q121" s="244" t="s">
        <v>52</v>
      </c>
      <c r="R121" s="354">
        <v>4</v>
      </c>
      <c r="S121" s="244" t="s">
        <v>45</v>
      </c>
      <c r="T121" s="355" t="s">
        <v>70</v>
      </c>
      <c r="U121" s="356">
        <f t="shared" si="11"/>
        <v>97600000</v>
      </c>
      <c r="V121" s="356">
        <f t="shared" si="12"/>
        <v>97600000</v>
      </c>
      <c r="W121" s="244" t="s">
        <v>43</v>
      </c>
      <c r="X121" s="244" t="s">
        <v>46</v>
      </c>
      <c r="Y121" s="242" t="s">
        <v>242</v>
      </c>
      <c r="Z121" s="245" t="s">
        <v>151</v>
      </c>
      <c r="AA121" s="246" t="s">
        <v>246</v>
      </c>
      <c r="AB121" s="247" t="s">
        <v>535</v>
      </c>
      <c r="AC121" s="357" t="s">
        <v>536</v>
      </c>
      <c r="AD121" s="249" t="s">
        <v>43</v>
      </c>
      <c r="AE121" s="249" t="s">
        <v>47</v>
      </c>
      <c r="AF121" s="250" t="s">
        <v>72</v>
      </c>
      <c r="AG121" s="250" t="s">
        <v>73</v>
      </c>
      <c r="AH121" s="250" t="s">
        <v>74</v>
      </c>
      <c r="AI121" s="250" t="s">
        <v>53</v>
      </c>
      <c r="AJ121" s="251" t="s">
        <v>53</v>
      </c>
      <c r="AK121" s="251" t="s">
        <v>53</v>
      </c>
      <c r="AL121" s="137"/>
      <c r="AM121" s="137"/>
      <c r="AN121" s="137"/>
      <c r="AO121" s="137"/>
      <c r="AP121" s="137"/>
      <c r="AQ121" s="137"/>
      <c r="AR121" s="137"/>
      <c r="AS121" s="137"/>
      <c r="AT121" s="137"/>
      <c r="AU121" s="137"/>
      <c r="AV121" s="137"/>
      <c r="AW121" s="137"/>
    </row>
    <row r="122" spans="1:49" customFormat="1" ht="48" hidden="1">
      <c r="A122" s="318">
        <v>44102</v>
      </c>
      <c r="B122" s="347" t="s">
        <v>272</v>
      </c>
      <c r="C122" s="323" t="s">
        <v>252</v>
      </c>
      <c r="D122" s="252" t="s">
        <v>242</v>
      </c>
      <c r="E122" s="252" t="s">
        <v>243</v>
      </c>
      <c r="F122" s="359" t="s">
        <v>253</v>
      </c>
      <c r="G122" s="374">
        <v>60720000</v>
      </c>
      <c r="H122" s="256" t="s">
        <v>278</v>
      </c>
      <c r="I122" s="243" t="s">
        <v>288</v>
      </c>
      <c r="J122" s="350" t="s">
        <v>284</v>
      </c>
      <c r="K122" s="361" t="s">
        <v>47</v>
      </c>
      <c r="L122" s="301"/>
      <c r="M122" s="270" t="str">
        <f t="shared" si="13"/>
        <v>INV-44102-30</v>
      </c>
      <c r="N122" s="362">
        <v>60103704</v>
      </c>
      <c r="O122" s="353" t="s">
        <v>290</v>
      </c>
      <c r="P122" s="363" t="s">
        <v>52</v>
      </c>
      <c r="Q122" s="363" t="s">
        <v>52</v>
      </c>
      <c r="R122" s="377">
        <v>10</v>
      </c>
      <c r="S122" s="363" t="s">
        <v>544</v>
      </c>
      <c r="T122" s="365" t="s">
        <v>48</v>
      </c>
      <c r="U122" s="374">
        <f t="shared" ref="U122:U125" si="16">G122</f>
        <v>60720000</v>
      </c>
      <c r="V122" s="374">
        <f t="shared" ref="V122:V125" si="17">G122</f>
        <v>60720000</v>
      </c>
      <c r="W122" s="376" t="s">
        <v>43</v>
      </c>
      <c r="X122" s="376" t="s">
        <v>46</v>
      </c>
      <c r="Y122" s="366" t="s">
        <v>242</v>
      </c>
      <c r="Z122" s="367" t="s">
        <v>151</v>
      </c>
      <c r="AA122" s="246" t="s">
        <v>246</v>
      </c>
      <c r="AB122" s="368" t="s">
        <v>543</v>
      </c>
      <c r="AC122" s="379" t="s">
        <v>536</v>
      </c>
      <c r="AD122" s="370" t="s">
        <v>43</v>
      </c>
      <c r="AE122" s="370" t="s">
        <v>47</v>
      </c>
      <c r="AF122" s="250" t="s">
        <v>72</v>
      </c>
      <c r="AG122" s="250" t="s">
        <v>73</v>
      </c>
      <c r="AH122" s="250" t="s">
        <v>74</v>
      </c>
      <c r="AI122" s="250" t="s">
        <v>53</v>
      </c>
      <c r="AJ122" s="251" t="s">
        <v>53</v>
      </c>
      <c r="AK122" s="251" t="s">
        <v>53</v>
      </c>
      <c r="AL122" s="137"/>
      <c r="AM122" s="137"/>
      <c r="AN122" s="137"/>
      <c r="AO122" s="137"/>
      <c r="AP122" s="137"/>
      <c r="AQ122" s="137"/>
      <c r="AR122" s="137"/>
      <c r="AS122" s="137"/>
      <c r="AT122" s="137"/>
      <c r="AU122" s="137"/>
      <c r="AV122" s="137"/>
      <c r="AW122" s="137"/>
    </row>
    <row r="123" spans="1:49" customFormat="1" ht="45" hidden="1">
      <c r="A123" s="318">
        <v>44102</v>
      </c>
      <c r="B123" s="347" t="s">
        <v>272</v>
      </c>
      <c r="C123" s="323" t="s">
        <v>252</v>
      </c>
      <c r="D123" s="252" t="s">
        <v>242</v>
      </c>
      <c r="E123" s="252" t="s">
        <v>243</v>
      </c>
      <c r="F123" s="359" t="s">
        <v>253</v>
      </c>
      <c r="G123" s="374">
        <v>6600000</v>
      </c>
      <c r="H123" s="256" t="s">
        <v>278</v>
      </c>
      <c r="I123" s="243" t="s">
        <v>288</v>
      </c>
      <c r="J123" s="350" t="s">
        <v>286</v>
      </c>
      <c r="K123" s="361" t="s">
        <v>47</v>
      </c>
      <c r="L123" s="301"/>
      <c r="M123" s="270" t="str">
        <f t="shared" si="13"/>
        <v>INV-44102-31</v>
      </c>
      <c r="N123" s="362">
        <v>60103704</v>
      </c>
      <c r="O123" s="353" t="s">
        <v>292</v>
      </c>
      <c r="P123" s="363" t="s">
        <v>52</v>
      </c>
      <c r="Q123" s="363" t="s">
        <v>52</v>
      </c>
      <c r="R123" s="377">
        <v>10</v>
      </c>
      <c r="S123" s="363" t="s">
        <v>544</v>
      </c>
      <c r="T123" s="365" t="s">
        <v>48</v>
      </c>
      <c r="U123" s="374">
        <f t="shared" si="16"/>
        <v>6600000</v>
      </c>
      <c r="V123" s="374">
        <f t="shared" si="17"/>
        <v>6600000</v>
      </c>
      <c r="W123" s="376" t="s">
        <v>43</v>
      </c>
      <c r="X123" s="376" t="s">
        <v>46</v>
      </c>
      <c r="Y123" s="366" t="s">
        <v>242</v>
      </c>
      <c r="Z123" s="367" t="s">
        <v>151</v>
      </c>
      <c r="AA123" s="246" t="s">
        <v>246</v>
      </c>
      <c r="AB123" s="368" t="s">
        <v>543</v>
      </c>
      <c r="AC123" s="379" t="s">
        <v>536</v>
      </c>
      <c r="AD123" s="370" t="s">
        <v>43</v>
      </c>
      <c r="AE123" s="370" t="s">
        <v>47</v>
      </c>
      <c r="AF123" s="250" t="s">
        <v>72</v>
      </c>
      <c r="AG123" s="250" t="s">
        <v>73</v>
      </c>
      <c r="AH123" s="250" t="s">
        <v>74</v>
      </c>
      <c r="AI123" s="250" t="s">
        <v>53</v>
      </c>
      <c r="AJ123" s="251" t="s">
        <v>53</v>
      </c>
      <c r="AK123" s="251" t="s">
        <v>53</v>
      </c>
      <c r="AL123" s="137"/>
      <c r="AM123" s="137"/>
      <c r="AN123" s="137"/>
      <c r="AO123" s="137"/>
      <c r="AP123" s="137"/>
      <c r="AQ123" s="137"/>
      <c r="AR123" s="137"/>
      <c r="AS123" s="137"/>
      <c r="AT123" s="137"/>
      <c r="AU123" s="137"/>
      <c r="AV123" s="137"/>
      <c r="AW123" s="137"/>
    </row>
    <row r="124" spans="1:49" customFormat="1" ht="84" hidden="1">
      <c r="A124" s="318">
        <v>44102</v>
      </c>
      <c r="B124" s="347" t="s">
        <v>272</v>
      </c>
      <c r="C124" s="323" t="s">
        <v>252</v>
      </c>
      <c r="D124" s="252" t="s">
        <v>242</v>
      </c>
      <c r="E124" s="252" t="s">
        <v>243</v>
      </c>
      <c r="F124" s="359" t="s">
        <v>254</v>
      </c>
      <c r="G124" s="371">
        <v>27257476</v>
      </c>
      <c r="H124" s="256" t="s">
        <v>278</v>
      </c>
      <c r="I124" s="243" t="s">
        <v>288</v>
      </c>
      <c r="J124" s="350" t="s">
        <v>289</v>
      </c>
      <c r="K124" s="361" t="s">
        <v>47</v>
      </c>
      <c r="L124" s="301"/>
      <c r="M124" s="270" t="str">
        <f t="shared" si="13"/>
        <v>INV-44102-32</v>
      </c>
      <c r="N124" s="362">
        <v>80111600</v>
      </c>
      <c r="O124" s="353" t="s">
        <v>294</v>
      </c>
      <c r="P124" s="363" t="s">
        <v>52</v>
      </c>
      <c r="Q124" s="363" t="s">
        <v>52</v>
      </c>
      <c r="R124" s="377">
        <v>4</v>
      </c>
      <c r="S124" s="363" t="s">
        <v>544</v>
      </c>
      <c r="T124" s="365" t="s">
        <v>48</v>
      </c>
      <c r="U124" s="374">
        <f t="shared" si="16"/>
        <v>27257476</v>
      </c>
      <c r="V124" s="374">
        <f t="shared" si="17"/>
        <v>27257476</v>
      </c>
      <c r="W124" s="376" t="s">
        <v>43</v>
      </c>
      <c r="X124" s="376" t="s">
        <v>46</v>
      </c>
      <c r="Y124" s="366" t="s">
        <v>242</v>
      </c>
      <c r="Z124" s="367" t="s">
        <v>151</v>
      </c>
      <c r="AA124" s="246" t="s">
        <v>246</v>
      </c>
      <c r="AB124" s="368" t="s">
        <v>543</v>
      </c>
      <c r="AC124" s="379" t="s">
        <v>536</v>
      </c>
      <c r="AD124" s="370" t="s">
        <v>43</v>
      </c>
      <c r="AE124" s="370" t="s">
        <v>47</v>
      </c>
      <c r="AF124" s="250" t="s">
        <v>72</v>
      </c>
      <c r="AG124" s="250" t="s">
        <v>73</v>
      </c>
      <c r="AH124" s="250" t="s">
        <v>74</v>
      </c>
      <c r="AI124" s="250" t="s">
        <v>53</v>
      </c>
      <c r="AJ124" s="251" t="s">
        <v>53</v>
      </c>
      <c r="AK124" s="251" t="s">
        <v>53</v>
      </c>
      <c r="AL124" s="137"/>
      <c r="AM124" s="137"/>
      <c r="AN124" s="137"/>
      <c r="AO124" s="137"/>
      <c r="AP124" s="137"/>
      <c r="AQ124" s="137"/>
      <c r="AR124" s="137"/>
      <c r="AS124" s="137"/>
      <c r="AT124" s="137"/>
      <c r="AU124" s="137"/>
      <c r="AV124" s="137"/>
      <c r="AW124" s="137"/>
    </row>
    <row r="125" spans="1:49" customFormat="1" ht="84" hidden="1">
      <c r="A125" s="318">
        <v>44102</v>
      </c>
      <c r="B125" s="347" t="s">
        <v>272</v>
      </c>
      <c r="C125" s="323" t="s">
        <v>252</v>
      </c>
      <c r="D125" s="252" t="s">
        <v>242</v>
      </c>
      <c r="E125" s="252" t="s">
        <v>243</v>
      </c>
      <c r="F125" s="359" t="s">
        <v>254</v>
      </c>
      <c r="G125" s="371">
        <v>27257476</v>
      </c>
      <c r="H125" s="256" t="s">
        <v>278</v>
      </c>
      <c r="I125" s="243" t="s">
        <v>288</v>
      </c>
      <c r="J125" s="350" t="s">
        <v>291</v>
      </c>
      <c r="K125" s="361" t="s">
        <v>47</v>
      </c>
      <c r="L125" s="301"/>
      <c r="M125" s="270" t="str">
        <f t="shared" si="13"/>
        <v>INV-44102-33</v>
      </c>
      <c r="N125" s="362">
        <v>80111600</v>
      </c>
      <c r="O125" s="353" t="s">
        <v>294</v>
      </c>
      <c r="P125" s="363" t="s">
        <v>52</v>
      </c>
      <c r="Q125" s="363" t="s">
        <v>52</v>
      </c>
      <c r="R125" s="377">
        <v>4</v>
      </c>
      <c r="S125" s="363" t="s">
        <v>544</v>
      </c>
      <c r="T125" s="365" t="s">
        <v>48</v>
      </c>
      <c r="U125" s="374">
        <f t="shared" si="16"/>
        <v>27257476</v>
      </c>
      <c r="V125" s="374">
        <f t="shared" si="17"/>
        <v>27257476</v>
      </c>
      <c r="W125" s="376" t="s">
        <v>43</v>
      </c>
      <c r="X125" s="376" t="s">
        <v>46</v>
      </c>
      <c r="Y125" s="366" t="s">
        <v>242</v>
      </c>
      <c r="Z125" s="367" t="s">
        <v>151</v>
      </c>
      <c r="AA125" s="246" t="s">
        <v>246</v>
      </c>
      <c r="AB125" s="368" t="s">
        <v>543</v>
      </c>
      <c r="AC125" s="379" t="s">
        <v>536</v>
      </c>
      <c r="AD125" s="370" t="s">
        <v>43</v>
      </c>
      <c r="AE125" s="370" t="s">
        <v>47</v>
      </c>
      <c r="AF125" s="250" t="s">
        <v>72</v>
      </c>
      <c r="AG125" s="250" t="s">
        <v>73</v>
      </c>
      <c r="AH125" s="250" t="s">
        <v>74</v>
      </c>
      <c r="AI125" s="250" t="s">
        <v>53</v>
      </c>
      <c r="AJ125" s="251" t="s">
        <v>53</v>
      </c>
      <c r="AK125" s="251" t="s">
        <v>53</v>
      </c>
      <c r="AL125" s="137"/>
      <c r="AM125" s="137"/>
      <c r="AN125" s="137"/>
      <c r="AO125" s="137"/>
      <c r="AP125" s="137"/>
      <c r="AQ125" s="137"/>
      <c r="AR125" s="137"/>
      <c r="AS125" s="137"/>
      <c r="AT125" s="137"/>
      <c r="AU125" s="137"/>
      <c r="AV125" s="137"/>
      <c r="AW125" s="137"/>
    </row>
    <row r="126" spans="1:49" customFormat="1" ht="84" hidden="1">
      <c r="A126" s="318">
        <v>44102</v>
      </c>
      <c r="B126" s="347" t="s">
        <v>272</v>
      </c>
      <c r="C126" s="323" t="s">
        <v>252</v>
      </c>
      <c r="D126" s="252" t="s">
        <v>242</v>
      </c>
      <c r="E126" s="252" t="s">
        <v>243</v>
      </c>
      <c r="F126" s="359" t="s">
        <v>254</v>
      </c>
      <c r="G126" s="371">
        <v>27257476</v>
      </c>
      <c r="H126" s="256" t="s">
        <v>278</v>
      </c>
      <c r="I126" s="243" t="s">
        <v>288</v>
      </c>
      <c r="J126" s="350" t="s">
        <v>293</v>
      </c>
      <c r="K126" s="361" t="s">
        <v>47</v>
      </c>
      <c r="L126" s="301"/>
      <c r="M126" s="270" t="str">
        <f>"INV-"&amp;A126&amp;"-"&amp;J126</f>
        <v>INV-44102-34</v>
      </c>
      <c r="N126" s="362">
        <v>80111600</v>
      </c>
      <c r="O126" s="353" t="s">
        <v>294</v>
      </c>
      <c r="P126" s="363" t="s">
        <v>52</v>
      </c>
      <c r="Q126" s="363" t="s">
        <v>52</v>
      </c>
      <c r="R126" s="377">
        <v>4</v>
      </c>
      <c r="S126" s="363" t="s">
        <v>544</v>
      </c>
      <c r="T126" s="365" t="s">
        <v>48</v>
      </c>
      <c r="U126" s="374">
        <f>G126</f>
        <v>27257476</v>
      </c>
      <c r="V126" s="374">
        <f>G126</f>
        <v>27257476</v>
      </c>
      <c r="W126" s="376" t="s">
        <v>43</v>
      </c>
      <c r="X126" s="376" t="s">
        <v>46</v>
      </c>
      <c r="Y126" s="366" t="s">
        <v>242</v>
      </c>
      <c r="Z126" s="367" t="s">
        <v>151</v>
      </c>
      <c r="AA126" s="246" t="s">
        <v>246</v>
      </c>
      <c r="AB126" s="368" t="s">
        <v>543</v>
      </c>
      <c r="AC126" s="379" t="s">
        <v>536</v>
      </c>
      <c r="AD126" s="370" t="s">
        <v>43</v>
      </c>
      <c r="AE126" s="370" t="s">
        <v>47</v>
      </c>
      <c r="AF126" s="250" t="s">
        <v>72</v>
      </c>
      <c r="AG126" s="250" t="s">
        <v>73</v>
      </c>
      <c r="AH126" s="250" t="s">
        <v>74</v>
      </c>
      <c r="AI126" s="250" t="s">
        <v>53</v>
      </c>
      <c r="AJ126" s="251" t="s">
        <v>53</v>
      </c>
      <c r="AK126" s="251" t="s">
        <v>53</v>
      </c>
      <c r="AL126" s="137"/>
      <c r="AM126" s="137"/>
      <c r="AN126" s="137"/>
      <c r="AO126" s="137"/>
      <c r="AP126" s="137"/>
      <c r="AQ126" s="137"/>
      <c r="AR126" s="137"/>
      <c r="AS126" s="137"/>
      <c r="AT126" s="137"/>
      <c r="AU126" s="137"/>
      <c r="AV126" s="137"/>
      <c r="AW126" s="137"/>
    </row>
    <row r="127" spans="1:49" customFormat="1" ht="45.75" hidden="1">
      <c r="A127" s="318">
        <v>44102</v>
      </c>
      <c r="B127" s="319" t="s">
        <v>272</v>
      </c>
      <c r="C127" s="310" t="s">
        <v>251</v>
      </c>
      <c r="D127" s="252" t="s">
        <v>242</v>
      </c>
      <c r="E127" s="252" t="s">
        <v>243</v>
      </c>
      <c r="F127" s="359" t="s">
        <v>254</v>
      </c>
      <c r="G127" s="394">
        <v>54598500</v>
      </c>
      <c r="H127" s="256" t="s">
        <v>247</v>
      </c>
      <c r="I127" s="243" t="s">
        <v>371</v>
      </c>
      <c r="J127" s="395" t="s">
        <v>458</v>
      </c>
      <c r="K127" s="361" t="s">
        <v>47</v>
      </c>
      <c r="L127" s="256"/>
      <c r="M127" s="270" t="str">
        <f t="shared" ref="M127:M128" si="18">"INV-"&amp;A127&amp;"-"&amp;J127</f>
        <v>INV-44102-35</v>
      </c>
      <c r="N127" s="362">
        <v>80111600</v>
      </c>
      <c r="O127" s="396" t="s">
        <v>538</v>
      </c>
      <c r="P127" s="363" t="s">
        <v>55</v>
      </c>
      <c r="Q127" s="363" t="s">
        <v>55</v>
      </c>
      <c r="R127" s="377">
        <v>10</v>
      </c>
      <c r="S127" s="376" t="s">
        <v>45</v>
      </c>
      <c r="T127" s="378" t="s">
        <v>48</v>
      </c>
      <c r="U127" s="397">
        <v>54598500</v>
      </c>
      <c r="V127" s="397">
        <v>54598500</v>
      </c>
      <c r="W127" s="376" t="s">
        <v>43</v>
      </c>
      <c r="X127" s="376" t="s">
        <v>46</v>
      </c>
      <c r="Y127" s="366" t="s">
        <v>242</v>
      </c>
      <c r="Z127" s="367" t="s">
        <v>151</v>
      </c>
      <c r="AA127" s="246" t="s">
        <v>246</v>
      </c>
      <c r="AB127" s="368" t="s">
        <v>543</v>
      </c>
      <c r="AC127" s="379" t="s">
        <v>536</v>
      </c>
      <c r="AD127" s="370" t="s">
        <v>43</v>
      </c>
      <c r="AE127" s="370" t="s">
        <v>47</v>
      </c>
      <c r="AF127" s="250" t="s">
        <v>72</v>
      </c>
      <c r="AG127" s="250" t="s">
        <v>73</v>
      </c>
      <c r="AH127" s="250" t="s">
        <v>74</v>
      </c>
      <c r="AI127" s="250" t="s">
        <v>53</v>
      </c>
      <c r="AJ127" s="251" t="s">
        <v>53</v>
      </c>
      <c r="AK127" s="251" t="s">
        <v>53</v>
      </c>
      <c r="AL127" s="137"/>
      <c r="AM127" s="137"/>
      <c r="AN127" s="137"/>
      <c r="AO127" s="137"/>
      <c r="AP127" s="137"/>
      <c r="AQ127" s="137"/>
      <c r="AR127" s="137"/>
      <c r="AS127" s="137"/>
      <c r="AT127" s="137"/>
      <c r="AU127" s="137"/>
      <c r="AV127" s="137"/>
      <c r="AW127" s="137"/>
    </row>
    <row r="128" spans="1:49" customFormat="1" ht="48">
      <c r="A128" s="318">
        <v>44102</v>
      </c>
      <c r="B128" s="319" t="s">
        <v>272</v>
      </c>
      <c r="C128" s="310" t="s">
        <v>251</v>
      </c>
      <c r="D128" s="252" t="s">
        <v>242</v>
      </c>
      <c r="E128" s="252" t="s">
        <v>243</v>
      </c>
      <c r="F128" s="410" t="s">
        <v>90</v>
      </c>
      <c r="G128" s="409">
        <v>54598500</v>
      </c>
      <c r="H128" s="256" t="s">
        <v>247</v>
      </c>
      <c r="I128" s="243" t="s">
        <v>371</v>
      </c>
      <c r="J128" s="256">
        <v>36</v>
      </c>
      <c r="K128" s="398" t="s">
        <v>47</v>
      </c>
      <c r="L128" s="408" t="s">
        <v>537</v>
      </c>
      <c r="M128" s="270" t="str">
        <f t="shared" si="18"/>
        <v>INV-44102-36</v>
      </c>
      <c r="N128" s="362">
        <v>80111600</v>
      </c>
      <c r="O128" s="399" t="s">
        <v>546</v>
      </c>
      <c r="P128" s="363" t="s">
        <v>55</v>
      </c>
      <c r="Q128" s="363" t="s">
        <v>55</v>
      </c>
      <c r="R128" s="377">
        <v>10</v>
      </c>
      <c r="S128" s="376" t="s">
        <v>45</v>
      </c>
      <c r="T128" s="378" t="s">
        <v>48</v>
      </c>
      <c r="U128" s="397">
        <v>54598500</v>
      </c>
      <c r="V128" s="397">
        <v>54598500</v>
      </c>
      <c r="W128" s="376" t="s">
        <v>43</v>
      </c>
      <c r="X128" s="376" t="s">
        <v>46</v>
      </c>
      <c r="Y128" s="366" t="s">
        <v>242</v>
      </c>
      <c r="Z128" s="367" t="s">
        <v>151</v>
      </c>
      <c r="AA128" s="246" t="s">
        <v>246</v>
      </c>
      <c r="AB128" s="368" t="s">
        <v>543</v>
      </c>
      <c r="AC128" s="379" t="s">
        <v>536</v>
      </c>
      <c r="AD128" s="370" t="s">
        <v>43</v>
      </c>
      <c r="AE128" s="370" t="s">
        <v>47</v>
      </c>
      <c r="AF128" s="250" t="s">
        <v>72</v>
      </c>
      <c r="AG128" s="250" t="s">
        <v>73</v>
      </c>
      <c r="AH128" s="250" t="s">
        <v>74</v>
      </c>
      <c r="AI128" s="250" t="s">
        <v>53</v>
      </c>
      <c r="AJ128" s="251" t="s">
        <v>53</v>
      </c>
      <c r="AK128" s="251" t="s">
        <v>53</v>
      </c>
      <c r="AL128" s="137"/>
      <c r="AM128" s="137"/>
      <c r="AN128" s="137"/>
      <c r="AO128" s="137"/>
      <c r="AP128" s="137"/>
      <c r="AQ128" s="137"/>
      <c r="AR128" s="137"/>
      <c r="AS128" s="137"/>
      <c r="AT128" s="137"/>
      <c r="AU128" s="137"/>
      <c r="AV128" s="137"/>
      <c r="AW128" s="137"/>
    </row>
    <row r="129" spans="1:37" s="137" customFormat="1" ht="82.5" hidden="1" customHeight="1">
      <c r="A129" s="256">
        <v>42103</v>
      </c>
      <c r="B129" s="304" t="str">
        <f>IFERROR(VLOOKUP(A129,[12]Listas!$A$91:$B$107,2,FALSE),"")</f>
        <v>MEJORAMIENTO DE LA PRODUCCIÓN, CIRCULACIÓN Y APROPIACIÓN SOCIAL DEL CONOCIMIENTO</v>
      </c>
      <c r="C129" s="294" t="s">
        <v>295</v>
      </c>
      <c r="D129" s="295" t="s">
        <v>100</v>
      </c>
      <c r="E129" s="295" t="s">
        <v>67</v>
      </c>
      <c r="F129" s="297" t="s">
        <v>296</v>
      </c>
      <c r="G129" s="302">
        <v>9480000</v>
      </c>
      <c r="H129" s="303" t="s">
        <v>155</v>
      </c>
      <c r="I129" s="304" t="str">
        <f>IFERROR(VLOOKUP(H129,[12]Listas!$B$126:$C$144,2,FALSE),"")</f>
        <v>Recursos del Balance - Propios</v>
      </c>
      <c r="J129" s="256">
        <v>1</v>
      </c>
      <c r="K129" s="256" t="s">
        <v>43</v>
      </c>
      <c r="L129" s="305"/>
      <c r="M129" s="270" t="str">
        <f>"INV-"&amp;A129&amp;"-"&amp;J129</f>
        <v>INV-42103-1</v>
      </c>
      <c r="N129" s="306" t="s">
        <v>113</v>
      </c>
      <c r="O129" s="307" t="s">
        <v>297</v>
      </c>
      <c r="P129" s="244" t="s">
        <v>55</v>
      </c>
      <c r="Q129" s="244" t="s">
        <v>55</v>
      </c>
      <c r="R129" s="256">
        <v>11</v>
      </c>
      <c r="S129" s="299" t="s">
        <v>45</v>
      </c>
      <c r="T129" s="198" t="s">
        <v>48</v>
      </c>
      <c r="U129" s="272">
        <f t="shared" ref="U129:U160" si="19">+G129</f>
        <v>9480000</v>
      </c>
      <c r="V129" s="272">
        <f>+U129</f>
        <v>9480000</v>
      </c>
      <c r="W129" s="299" t="s">
        <v>43</v>
      </c>
      <c r="X129" s="199" t="s">
        <v>46</v>
      </c>
      <c r="Y129" s="200" t="s">
        <v>380</v>
      </c>
      <c r="Z129" s="201" t="s">
        <v>49</v>
      </c>
      <c r="AA129" s="204" t="s">
        <v>379</v>
      </c>
      <c r="AB129" s="201" t="s">
        <v>101</v>
      </c>
      <c r="AC129" s="202" t="s">
        <v>50</v>
      </c>
      <c r="AD129" s="199" t="s">
        <v>43</v>
      </c>
      <c r="AE129" s="199" t="s">
        <v>47</v>
      </c>
      <c r="AF129" s="203" t="s">
        <v>72</v>
      </c>
      <c r="AG129" s="300" t="s">
        <v>73</v>
      </c>
      <c r="AH129" s="203" t="s">
        <v>74</v>
      </c>
      <c r="AI129" s="203" t="s">
        <v>298</v>
      </c>
      <c r="AJ129" s="203" t="s">
        <v>75</v>
      </c>
      <c r="AK129" s="203" t="s">
        <v>76</v>
      </c>
    </row>
    <row r="130" spans="1:37" s="137" customFormat="1" ht="45" hidden="1">
      <c r="A130" s="256">
        <v>42103</v>
      </c>
      <c r="B130" s="304" t="str">
        <f>IFERROR(VLOOKUP(A130,[12]Listas!$A$91:$B$107,2,FALSE),"")</f>
        <v>MEJORAMIENTO DE LA PRODUCCIÓN, CIRCULACIÓN Y APROPIACIÓN SOCIAL DEL CONOCIMIENTO</v>
      </c>
      <c r="C130" s="294" t="s">
        <v>295</v>
      </c>
      <c r="D130" s="295" t="s">
        <v>100</v>
      </c>
      <c r="E130" s="295" t="s">
        <v>67</v>
      </c>
      <c r="F130" s="297" t="s">
        <v>296</v>
      </c>
      <c r="G130" s="302">
        <v>900000</v>
      </c>
      <c r="H130" s="303" t="s">
        <v>155</v>
      </c>
      <c r="I130" s="304" t="str">
        <f>IFERROR(VLOOKUP(H130,[12]Listas!$B$126:$C$144,2,FALSE),"")</f>
        <v>Recursos del Balance - Propios</v>
      </c>
      <c r="J130" s="256">
        <v>2</v>
      </c>
      <c r="K130" s="256" t="s">
        <v>43</v>
      </c>
      <c r="L130" s="305"/>
      <c r="M130" s="270" t="str">
        <f t="shared" ref="M130:M168" si="20">"INV-"&amp;A130&amp;"-"&amp;J130</f>
        <v>INV-42103-2</v>
      </c>
      <c r="N130" s="306" t="s">
        <v>113</v>
      </c>
      <c r="O130" s="307" t="s">
        <v>299</v>
      </c>
      <c r="P130" s="244" t="s">
        <v>55</v>
      </c>
      <c r="Q130" s="244" t="s">
        <v>55</v>
      </c>
      <c r="R130" s="256">
        <v>11</v>
      </c>
      <c r="S130" s="299" t="s">
        <v>45</v>
      </c>
      <c r="T130" s="198" t="s">
        <v>48</v>
      </c>
      <c r="U130" s="272">
        <f t="shared" si="19"/>
        <v>900000</v>
      </c>
      <c r="V130" s="272">
        <f t="shared" ref="V130:V160" si="21">+U130</f>
        <v>900000</v>
      </c>
      <c r="W130" s="299" t="s">
        <v>43</v>
      </c>
      <c r="X130" s="199" t="s">
        <v>46</v>
      </c>
      <c r="Y130" s="200" t="s">
        <v>380</v>
      </c>
      <c r="Z130" s="201" t="s">
        <v>49</v>
      </c>
      <c r="AA130" s="204" t="s">
        <v>379</v>
      </c>
      <c r="AB130" s="201" t="s">
        <v>101</v>
      </c>
      <c r="AC130" s="202" t="s">
        <v>50</v>
      </c>
      <c r="AD130" s="199" t="s">
        <v>43</v>
      </c>
      <c r="AE130" s="199" t="s">
        <v>47</v>
      </c>
      <c r="AF130" s="203" t="s">
        <v>72</v>
      </c>
      <c r="AG130" s="300" t="s">
        <v>73</v>
      </c>
      <c r="AH130" s="203" t="s">
        <v>74</v>
      </c>
      <c r="AI130" s="203" t="s">
        <v>298</v>
      </c>
      <c r="AJ130" s="203" t="s">
        <v>75</v>
      </c>
      <c r="AK130" s="203" t="s">
        <v>76</v>
      </c>
    </row>
    <row r="131" spans="1:37" s="137" customFormat="1" ht="45" hidden="1">
      <c r="A131" s="256">
        <v>42103</v>
      </c>
      <c r="B131" s="304" t="str">
        <f>IFERROR(VLOOKUP(A131,[12]Listas!$A$91:$B$107,2,FALSE),"")</f>
        <v>MEJORAMIENTO DE LA PRODUCCIÓN, CIRCULACIÓN Y APROPIACIÓN SOCIAL DEL CONOCIMIENTO</v>
      </c>
      <c r="C131" s="294" t="s">
        <v>295</v>
      </c>
      <c r="D131" s="295" t="s">
        <v>100</v>
      </c>
      <c r="E131" s="295" t="s">
        <v>67</v>
      </c>
      <c r="F131" s="297" t="s">
        <v>296</v>
      </c>
      <c r="G131" s="302">
        <v>6000000</v>
      </c>
      <c r="H131" s="303" t="s">
        <v>300</v>
      </c>
      <c r="I131" s="308" t="str">
        <f>IFERROR(VLOOKUP(H131,[12]Listas!$B$126:$C$144,2,FALSE),"")</f>
        <v>Recursos Propios</v>
      </c>
      <c r="J131" s="256">
        <v>3</v>
      </c>
      <c r="K131" s="256" t="s">
        <v>43</v>
      </c>
      <c r="L131" s="305"/>
      <c r="M131" s="270" t="str">
        <f t="shared" si="20"/>
        <v>INV-42103-3</v>
      </c>
      <c r="N131" s="306" t="s">
        <v>113</v>
      </c>
      <c r="O131" s="307" t="s">
        <v>301</v>
      </c>
      <c r="P131" s="244" t="s">
        <v>55</v>
      </c>
      <c r="Q131" s="244" t="s">
        <v>55</v>
      </c>
      <c r="R131" s="256">
        <v>11</v>
      </c>
      <c r="S131" s="299" t="s">
        <v>45</v>
      </c>
      <c r="T131" s="198" t="s">
        <v>48</v>
      </c>
      <c r="U131" s="272">
        <f t="shared" si="19"/>
        <v>6000000</v>
      </c>
      <c r="V131" s="272">
        <f t="shared" si="21"/>
        <v>6000000</v>
      </c>
      <c r="W131" s="299" t="s">
        <v>43</v>
      </c>
      <c r="X131" s="199" t="s">
        <v>46</v>
      </c>
      <c r="Y131" s="200" t="s">
        <v>380</v>
      </c>
      <c r="Z131" s="201" t="s">
        <v>49</v>
      </c>
      <c r="AA131" s="204" t="s">
        <v>379</v>
      </c>
      <c r="AB131" s="201" t="s">
        <v>101</v>
      </c>
      <c r="AC131" s="202" t="s">
        <v>50</v>
      </c>
      <c r="AD131" s="199" t="s">
        <v>43</v>
      </c>
      <c r="AE131" s="199" t="s">
        <v>47</v>
      </c>
      <c r="AF131" s="203" t="s">
        <v>72</v>
      </c>
      <c r="AG131" s="300" t="s">
        <v>73</v>
      </c>
      <c r="AH131" s="203" t="s">
        <v>74</v>
      </c>
      <c r="AI131" s="203" t="s">
        <v>298</v>
      </c>
      <c r="AJ131" s="203" t="s">
        <v>75</v>
      </c>
      <c r="AK131" s="203" t="s">
        <v>76</v>
      </c>
    </row>
    <row r="132" spans="1:37" s="137" customFormat="1" ht="48" hidden="1">
      <c r="A132" s="256">
        <v>42103</v>
      </c>
      <c r="B132" s="304" t="str">
        <f>IFERROR(VLOOKUP(A132,[12]Listas!$A$91:$B$107,2,FALSE),"")</f>
        <v>MEJORAMIENTO DE LA PRODUCCIÓN, CIRCULACIÓN Y APROPIACIÓN SOCIAL DEL CONOCIMIENTO</v>
      </c>
      <c r="C132" s="294" t="s">
        <v>295</v>
      </c>
      <c r="D132" s="295" t="s">
        <v>100</v>
      </c>
      <c r="E132" s="295" t="s">
        <v>67</v>
      </c>
      <c r="F132" s="297" t="s">
        <v>450</v>
      </c>
      <c r="G132" s="302">
        <f>5000000-189206</f>
        <v>4810794</v>
      </c>
      <c r="H132" s="303" t="s">
        <v>155</v>
      </c>
      <c r="I132" s="304" t="str">
        <f>IFERROR(VLOOKUP(H132,[12]Listas!$B$126:$C$144,2,FALSE),"")</f>
        <v>Recursos del Balance - Propios</v>
      </c>
      <c r="J132" s="256">
        <v>4</v>
      </c>
      <c r="K132" s="256" t="s">
        <v>43</v>
      </c>
      <c r="L132" s="305"/>
      <c r="M132" s="270" t="str">
        <f t="shared" si="20"/>
        <v>INV-42103-4</v>
      </c>
      <c r="N132" s="306" t="s">
        <v>113</v>
      </c>
      <c r="O132" s="307" t="s">
        <v>303</v>
      </c>
      <c r="P132" s="244" t="s">
        <v>55</v>
      </c>
      <c r="Q132" s="244" t="s">
        <v>55</v>
      </c>
      <c r="R132" s="256">
        <v>11</v>
      </c>
      <c r="S132" s="299" t="s">
        <v>45</v>
      </c>
      <c r="T132" s="198" t="s">
        <v>48</v>
      </c>
      <c r="U132" s="272">
        <f t="shared" si="19"/>
        <v>4810794</v>
      </c>
      <c r="V132" s="272">
        <f t="shared" si="21"/>
        <v>4810794</v>
      </c>
      <c r="W132" s="299" t="s">
        <v>43</v>
      </c>
      <c r="X132" s="199" t="s">
        <v>46</v>
      </c>
      <c r="Y132" s="200" t="s">
        <v>380</v>
      </c>
      <c r="Z132" s="201" t="s">
        <v>49</v>
      </c>
      <c r="AA132" s="204" t="s">
        <v>379</v>
      </c>
      <c r="AB132" s="201" t="s">
        <v>101</v>
      </c>
      <c r="AC132" s="202" t="s">
        <v>50</v>
      </c>
      <c r="AD132" s="199" t="s">
        <v>43</v>
      </c>
      <c r="AE132" s="199" t="s">
        <v>47</v>
      </c>
      <c r="AF132" s="203" t="s">
        <v>72</v>
      </c>
      <c r="AG132" s="300" t="s">
        <v>73</v>
      </c>
      <c r="AH132" s="203" t="s">
        <v>74</v>
      </c>
      <c r="AI132" s="203" t="s">
        <v>298</v>
      </c>
      <c r="AJ132" s="203" t="s">
        <v>75</v>
      </c>
      <c r="AK132" s="203" t="s">
        <v>76</v>
      </c>
    </row>
    <row r="133" spans="1:37" s="137" customFormat="1" ht="45" hidden="1">
      <c r="A133" s="256">
        <v>42103</v>
      </c>
      <c r="B133" s="304" t="str">
        <f>IFERROR(VLOOKUP(A133,[12]Listas!$A$91:$B$107,2,FALSE),"")</f>
        <v>MEJORAMIENTO DE LA PRODUCCIÓN, CIRCULACIÓN Y APROPIACIÓN SOCIAL DEL CONOCIMIENTO</v>
      </c>
      <c r="C133" s="294" t="s">
        <v>295</v>
      </c>
      <c r="D133" s="295" t="s">
        <v>100</v>
      </c>
      <c r="E133" s="295" t="s">
        <v>67</v>
      </c>
      <c r="F133" s="309" t="s">
        <v>304</v>
      </c>
      <c r="G133" s="302">
        <v>18900000</v>
      </c>
      <c r="H133" s="303" t="s">
        <v>155</v>
      </c>
      <c r="I133" s="310" t="str">
        <f>IFERROR(VLOOKUP(H133,[12]Listas!$B$126:$C$144,2,FALSE),"")</f>
        <v>Recursos del Balance - Propios</v>
      </c>
      <c r="J133" s="256">
        <v>5</v>
      </c>
      <c r="K133" s="256" t="s">
        <v>47</v>
      </c>
      <c r="L133" s="305"/>
      <c r="M133" s="270" t="str">
        <f t="shared" si="20"/>
        <v>INV-42103-5</v>
      </c>
      <c r="N133" s="205">
        <v>80111600</v>
      </c>
      <c r="O133" s="307" t="s">
        <v>305</v>
      </c>
      <c r="P133" s="244" t="s">
        <v>55</v>
      </c>
      <c r="Q133" s="244" t="s">
        <v>55</v>
      </c>
      <c r="R133" s="256">
        <v>4</v>
      </c>
      <c r="S133" s="299" t="s">
        <v>45</v>
      </c>
      <c r="T133" s="198" t="s">
        <v>48</v>
      </c>
      <c r="U133" s="272">
        <f t="shared" si="19"/>
        <v>18900000</v>
      </c>
      <c r="V133" s="272">
        <f t="shared" si="21"/>
        <v>18900000</v>
      </c>
      <c r="W133" s="299" t="s">
        <v>43</v>
      </c>
      <c r="X133" s="199" t="s">
        <v>46</v>
      </c>
      <c r="Y133" s="200" t="s">
        <v>380</v>
      </c>
      <c r="Z133" s="201" t="s">
        <v>49</v>
      </c>
      <c r="AA133" s="204" t="s">
        <v>379</v>
      </c>
      <c r="AB133" s="201" t="s">
        <v>101</v>
      </c>
      <c r="AC133" s="202" t="s">
        <v>50</v>
      </c>
      <c r="AD133" s="199" t="s">
        <v>43</v>
      </c>
      <c r="AE133" s="199" t="s">
        <v>47</v>
      </c>
      <c r="AF133" s="203" t="s">
        <v>72</v>
      </c>
      <c r="AG133" s="300" t="s">
        <v>73</v>
      </c>
      <c r="AH133" s="203" t="s">
        <v>74</v>
      </c>
      <c r="AI133" s="203" t="s">
        <v>298</v>
      </c>
      <c r="AJ133" s="203" t="s">
        <v>75</v>
      </c>
      <c r="AK133" s="203" t="s">
        <v>76</v>
      </c>
    </row>
    <row r="134" spans="1:37" s="137" customFormat="1" ht="45" hidden="1">
      <c r="A134" s="256">
        <v>42103</v>
      </c>
      <c r="B134" s="304" t="str">
        <f>IFERROR(VLOOKUP(A134,[12]Listas!$A$91:$B$107,2,FALSE),"")</f>
        <v>MEJORAMIENTO DE LA PRODUCCIÓN, CIRCULACIÓN Y APROPIACIÓN SOCIAL DEL CONOCIMIENTO</v>
      </c>
      <c r="C134" s="294" t="s">
        <v>295</v>
      </c>
      <c r="D134" s="295" t="s">
        <v>100</v>
      </c>
      <c r="E134" s="295" t="s">
        <v>67</v>
      </c>
      <c r="F134" s="309" t="s">
        <v>304</v>
      </c>
      <c r="G134" s="302">
        <v>18900000</v>
      </c>
      <c r="H134" s="303" t="s">
        <v>155</v>
      </c>
      <c r="I134" s="310" t="str">
        <f>IFERROR(VLOOKUP(H134,[12]Listas!$B$126:$C$144,2,FALSE),"")</f>
        <v>Recursos del Balance - Propios</v>
      </c>
      <c r="J134" s="256">
        <v>6</v>
      </c>
      <c r="K134" s="256" t="s">
        <v>47</v>
      </c>
      <c r="L134" s="305"/>
      <c r="M134" s="270" t="str">
        <f>"INV-"&amp;A134&amp;"-"&amp;J134</f>
        <v>INV-42103-6</v>
      </c>
      <c r="N134" s="205">
        <v>80111600</v>
      </c>
      <c r="O134" s="307" t="s">
        <v>307</v>
      </c>
      <c r="P134" s="244" t="s">
        <v>55</v>
      </c>
      <c r="Q134" s="244" t="s">
        <v>55</v>
      </c>
      <c r="R134" s="256">
        <v>4</v>
      </c>
      <c r="S134" s="299" t="s">
        <v>45</v>
      </c>
      <c r="T134" s="198" t="s">
        <v>48</v>
      </c>
      <c r="U134" s="272">
        <f t="shared" si="19"/>
        <v>18900000</v>
      </c>
      <c r="V134" s="272">
        <f>+U134</f>
        <v>18900000</v>
      </c>
      <c r="W134" s="299" t="s">
        <v>43</v>
      </c>
      <c r="X134" s="199" t="s">
        <v>46</v>
      </c>
      <c r="Y134" s="200" t="s">
        <v>380</v>
      </c>
      <c r="Z134" s="201" t="s">
        <v>49</v>
      </c>
      <c r="AA134" s="204" t="s">
        <v>379</v>
      </c>
      <c r="AB134" s="201" t="s">
        <v>101</v>
      </c>
      <c r="AC134" s="202" t="s">
        <v>50</v>
      </c>
      <c r="AD134" s="199" t="s">
        <v>43</v>
      </c>
      <c r="AE134" s="199" t="s">
        <v>47</v>
      </c>
      <c r="AF134" s="203" t="s">
        <v>72</v>
      </c>
      <c r="AG134" s="300" t="s">
        <v>73</v>
      </c>
      <c r="AH134" s="203" t="s">
        <v>74</v>
      </c>
      <c r="AI134" s="203" t="s">
        <v>298</v>
      </c>
      <c r="AJ134" s="203" t="s">
        <v>75</v>
      </c>
      <c r="AK134" s="203" t="s">
        <v>76</v>
      </c>
    </row>
    <row r="135" spans="1:37" s="137" customFormat="1" ht="36" hidden="1" customHeight="1">
      <c r="A135" s="256">
        <v>42103</v>
      </c>
      <c r="B135" s="304" t="str">
        <f>IFERROR(VLOOKUP(A135,[12]Listas!$A$91:$B$107,2,FALSE),"")</f>
        <v>MEJORAMIENTO DE LA PRODUCCIÓN, CIRCULACIÓN Y APROPIACIÓN SOCIAL DEL CONOCIMIENTO</v>
      </c>
      <c r="C135" s="294" t="s">
        <v>295</v>
      </c>
      <c r="D135" s="295" t="s">
        <v>100</v>
      </c>
      <c r="E135" s="295" t="s">
        <v>67</v>
      </c>
      <c r="F135" s="309" t="s">
        <v>304</v>
      </c>
      <c r="G135" s="302">
        <v>51393100</v>
      </c>
      <c r="H135" s="303" t="s">
        <v>155</v>
      </c>
      <c r="I135" s="310" t="str">
        <f>IFERROR(VLOOKUP(H135,[12]Listas!$B$126:$C$144,2,FALSE),"")</f>
        <v>Recursos del Balance - Propios</v>
      </c>
      <c r="J135" s="256">
        <v>7</v>
      </c>
      <c r="K135" s="256" t="s">
        <v>47</v>
      </c>
      <c r="L135" s="305"/>
      <c r="M135" s="270" t="str">
        <f t="shared" si="20"/>
        <v>INV-42103-7</v>
      </c>
      <c r="N135" s="205">
        <v>80111600</v>
      </c>
      <c r="O135" s="307" t="s">
        <v>306</v>
      </c>
      <c r="P135" s="244" t="s">
        <v>55</v>
      </c>
      <c r="Q135" s="244" t="s">
        <v>55</v>
      </c>
      <c r="R135" s="256">
        <v>11</v>
      </c>
      <c r="S135" s="299" t="s">
        <v>45</v>
      </c>
      <c r="T135" s="198" t="s">
        <v>48</v>
      </c>
      <c r="U135" s="272">
        <f t="shared" si="19"/>
        <v>51393100</v>
      </c>
      <c r="V135" s="272">
        <f t="shared" si="21"/>
        <v>51393100</v>
      </c>
      <c r="W135" s="299" t="s">
        <v>43</v>
      </c>
      <c r="X135" s="199" t="s">
        <v>46</v>
      </c>
      <c r="Y135" s="200" t="s">
        <v>380</v>
      </c>
      <c r="Z135" s="201" t="s">
        <v>49</v>
      </c>
      <c r="AA135" s="204" t="s">
        <v>379</v>
      </c>
      <c r="AB135" s="201" t="s">
        <v>101</v>
      </c>
      <c r="AC135" s="202" t="s">
        <v>50</v>
      </c>
      <c r="AD135" s="199" t="s">
        <v>43</v>
      </c>
      <c r="AE135" s="199" t="s">
        <v>47</v>
      </c>
      <c r="AF135" s="203" t="s">
        <v>72</v>
      </c>
      <c r="AG135" s="300" t="s">
        <v>73</v>
      </c>
      <c r="AH135" s="203" t="s">
        <v>74</v>
      </c>
      <c r="AI135" s="203" t="s">
        <v>298</v>
      </c>
      <c r="AJ135" s="203" t="s">
        <v>75</v>
      </c>
      <c r="AK135" s="203" t="s">
        <v>76</v>
      </c>
    </row>
    <row r="136" spans="1:37" s="137" customFormat="1" ht="45" hidden="1">
      <c r="A136" s="256">
        <v>42103</v>
      </c>
      <c r="B136" s="304" t="str">
        <f>IFERROR(VLOOKUP(A136,[12]Listas!$A$91:$B$107,2,FALSE),"")</f>
        <v>MEJORAMIENTO DE LA PRODUCCIÓN, CIRCULACIÓN Y APROPIACIÓN SOCIAL DEL CONOCIMIENTO</v>
      </c>
      <c r="C136" s="294" t="s">
        <v>295</v>
      </c>
      <c r="D136" s="295" t="s">
        <v>100</v>
      </c>
      <c r="E136" s="295" t="s">
        <v>67</v>
      </c>
      <c r="F136" s="309" t="s">
        <v>304</v>
      </c>
      <c r="G136" s="302">
        <v>35000000</v>
      </c>
      <c r="H136" s="303" t="s">
        <v>155</v>
      </c>
      <c r="I136" s="310" t="str">
        <f>IFERROR(VLOOKUP(H136,[12]Listas!$B$126:$C$144,2,FALSE),"")</f>
        <v>Recursos del Balance - Propios</v>
      </c>
      <c r="J136" s="256">
        <v>8</v>
      </c>
      <c r="K136" s="256" t="s">
        <v>47</v>
      </c>
      <c r="L136" s="305"/>
      <c r="M136" s="270" t="str">
        <f t="shared" si="20"/>
        <v>INV-42103-8</v>
      </c>
      <c r="N136" s="205">
        <v>80111600</v>
      </c>
      <c r="O136" s="307" t="s">
        <v>308</v>
      </c>
      <c r="P136" s="244" t="s">
        <v>55</v>
      </c>
      <c r="Q136" s="244" t="s">
        <v>55</v>
      </c>
      <c r="R136" s="256">
        <v>11</v>
      </c>
      <c r="S136" s="299" t="s">
        <v>45</v>
      </c>
      <c r="T136" s="198" t="s">
        <v>48</v>
      </c>
      <c r="U136" s="272">
        <f t="shared" si="19"/>
        <v>35000000</v>
      </c>
      <c r="V136" s="272">
        <f t="shared" si="21"/>
        <v>35000000</v>
      </c>
      <c r="W136" s="299" t="s">
        <v>43</v>
      </c>
      <c r="X136" s="199" t="s">
        <v>46</v>
      </c>
      <c r="Y136" s="200" t="s">
        <v>380</v>
      </c>
      <c r="Z136" s="201" t="s">
        <v>49</v>
      </c>
      <c r="AA136" s="204" t="s">
        <v>379</v>
      </c>
      <c r="AB136" s="201" t="s">
        <v>101</v>
      </c>
      <c r="AC136" s="202" t="s">
        <v>50</v>
      </c>
      <c r="AD136" s="199" t="s">
        <v>43</v>
      </c>
      <c r="AE136" s="199" t="s">
        <v>47</v>
      </c>
      <c r="AF136" s="203" t="s">
        <v>72</v>
      </c>
      <c r="AG136" s="300" t="s">
        <v>73</v>
      </c>
      <c r="AH136" s="203" t="s">
        <v>74</v>
      </c>
      <c r="AI136" s="203" t="s">
        <v>298</v>
      </c>
      <c r="AJ136" s="203" t="s">
        <v>75</v>
      </c>
      <c r="AK136" s="203" t="s">
        <v>76</v>
      </c>
    </row>
    <row r="137" spans="1:37" s="137" customFormat="1" ht="48" hidden="1">
      <c r="A137" s="256">
        <v>42103</v>
      </c>
      <c r="B137" s="304" t="str">
        <f>IFERROR(VLOOKUP(A137,[12]Listas!$A$91:$B$107,2,FALSE),"")</f>
        <v>MEJORAMIENTO DE LA PRODUCCIÓN, CIRCULACIÓN Y APROPIACIÓN SOCIAL DEL CONOCIMIENTO</v>
      </c>
      <c r="C137" s="294" t="s">
        <v>295</v>
      </c>
      <c r="D137" s="295" t="s">
        <v>100</v>
      </c>
      <c r="E137" s="295" t="s">
        <v>67</v>
      </c>
      <c r="F137" s="309" t="s">
        <v>304</v>
      </c>
      <c r="G137" s="302">
        <v>17600000</v>
      </c>
      <c r="H137" s="303" t="s">
        <v>155</v>
      </c>
      <c r="I137" s="310" t="str">
        <f>IFERROR(VLOOKUP(H137,[12]Listas!$B$126:$C$144,2,FALSE),"")</f>
        <v>Recursos del Balance - Propios</v>
      </c>
      <c r="J137" s="256">
        <v>9</v>
      </c>
      <c r="K137" s="256" t="s">
        <v>47</v>
      </c>
      <c r="L137" s="305"/>
      <c r="M137" s="270" t="str">
        <f t="shared" si="20"/>
        <v>INV-42103-9</v>
      </c>
      <c r="N137" s="205">
        <v>80111600</v>
      </c>
      <c r="O137" s="307" t="s">
        <v>309</v>
      </c>
      <c r="P137" s="244" t="s">
        <v>55</v>
      </c>
      <c r="Q137" s="244" t="s">
        <v>55</v>
      </c>
      <c r="R137" s="256">
        <v>4</v>
      </c>
      <c r="S137" s="299" t="s">
        <v>45</v>
      </c>
      <c r="T137" s="198" t="s">
        <v>48</v>
      </c>
      <c r="U137" s="272">
        <f t="shared" si="19"/>
        <v>17600000</v>
      </c>
      <c r="V137" s="272">
        <f t="shared" si="21"/>
        <v>17600000</v>
      </c>
      <c r="W137" s="299" t="s">
        <v>43</v>
      </c>
      <c r="X137" s="199" t="s">
        <v>46</v>
      </c>
      <c r="Y137" s="200" t="s">
        <v>380</v>
      </c>
      <c r="Z137" s="201" t="s">
        <v>49</v>
      </c>
      <c r="AA137" s="204" t="s">
        <v>379</v>
      </c>
      <c r="AB137" s="201" t="s">
        <v>101</v>
      </c>
      <c r="AC137" s="202" t="s">
        <v>50</v>
      </c>
      <c r="AD137" s="199" t="s">
        <v>43</v>
      </c>
      <c r="AE137" s="199" t="s">
        <v>47</v>
      </c>
      <c r="AF137" s="203" t="s">
        <v>72</v>
      </c>
      <c r="AG137" s="300" t="s">
        <v>73</v>
      </c>
      <c r="AH137" s="203" t="s">
        <v>74</v>
      </c>
      <c r="AI137" s="203" t="s">
        <v>298</v>
      </c>
      <c r="AJ137" s="203" t="s">
        <v>75</v>
      </c>
      <c r="AK137" s="203" t="s">
        <v>76</v>
      </c>
    </row>
    <row r="138" spans="1:37" s="137" customFormat="1" ht="45" hidden="1">
      <c r="A138" s="256">
        <v>42103</v>
      </c>
      <c r="B138" s="304" t="str">
        <f>IFERROR(VLOOKUP(A138,[12]Listas!$A$91:$B$107,2,FALSE),"")</f>
        <v>MEJORAMIENTO DE LA PRODUCCIÓN, CIRCULACIÓN Y APROPIACIÓN SOCIAL DEL CONOCIMIENTO</v>
      </c>
      <c r="C138" s="294" t="s">
        <v>295</v>
      </c>
      <c r="D138" s="295" t="s">
        <v>100</v>
      </c>
      <c r="E138" s="295" t="s">
        <v>67</v>
      </c>
      <c r="F138" s="309" t="s">
        <v>304</v>
      </c>
      <c r="G138" s="302">
        <v>10000000</v>
      </c>
      <c r="H138" s="303" t="s">
        <v>155</v>
      </c>
      <c r="I138" s="310" t="str">
        <f>IFERROR(VLOOKUP(H138,[12]Listas!$B$126:$C$144,2,FALSE),"")</f>
        <v>Recursos del Balance - Propios</v>
      </c>
      <c r="J138" s="256">
        <v>10</v>
      </c>
      <c r="K138" s="256" t="s">
        <v>47</v>
      </c>
      <c r="L138" s="305"/>
      <c r="M138" s="270" t="str">
        <f t="shared" si="20"/>
        <v>INV-42103-10</v>
      </c>
      <c r="N138" s="205">
        <v>80111600</v>
      </c>
      <c r="O138" s="154" t="s">
        <v>381</v>
      </c>
      <c r="P138" s="244" t="s">
        <v>55</v>
      </c>
      <c r="Q138" s="244" t="s">
        <v>55</v>
      </c>
      <c r="R138" s="256">
        <v>9</v>
      </c>
      <c r="S138" s="299" t="s">
        <v>45</v>
      </c>
      <c r="T138" s="198" t="s">
        <v>48</v>
      </c>
      <c r="U138" s="272">
        <f t="shared" si="19"/>
        <v>10000000</v>
      </c>
      <c r="V138" s="272">
        <f t="shared" si="21"/>
        <v>10000000</v>
      </c>
      <c r="W138" s="299" t="s">
        <v>43</v>
      </c>
      <c r="X138" s="199" t="s">
        <v>46</v>
      </c>
      <c r="Y138" s="200" t="s">
        <v>380</v>
      </c>
      <c r="Z138" s="201" t="s">
        <v>49</v>
      </c>
      <c r="AA138" s="204" t="s">
        <v>379</v>
      </c>
      <c r="AB138" s="201" t="s">
        <v>101</v>
      </c>
      <c r="AC138" s="202" t="s">
        <v>50</v>
      </c>
      <c r="AD138" s="199" t="s">
        <v>43</v>
      </c>
      <c r="AE138" s="199" t="s">
        <v>47</v>
      </c>
      <c r="AF138" s="203" t="s">
        <v>72</v>
      </c>
      <c r="AG138" s="300" t="s">
        <v>73</v>
      </c>
      <c r="AH138" s="203" t="s">
        <v>74</v>
      </c>
      <c r="AI138" s="203" t="s">
        <v>298</v>
      </c>
      <c r="AJ138" s="203" t="s">
        <v>75</v>
      </c>
      <c r="AK138" s="203" t="s">
        <v>76</v>
      </c>
    </row>
    <row r="139" spans="1:37" s="137" customFormat="1" ht="45" hidden="1">
      <c r="A139" s="256">
        <v>42103</v>
      </c>
      <c r="B139" s="304" t="str">
        <f>IFERROR(VLOOKUP(A139,[12]Listas!$A$91:$B$107,2,FALSE),"")</f>
        <v>MEJORAMIENTO DE LA PRODUCCIÓN, CIRCULACIÓN Y APROPIACIÓN SOCIAL DEL CONOCIMIENTO</v>
      </c>
      <c r="C139" s="294" t="s">
        <v>295</v>
      </c>
      <c r="D139" s="295" t="s">
        <v>100</v>
      </c>
      <c r="E139" s="295" t="s">
        <v>67</v>
      </c>
      <c r="F139" s="309" t="s">
        <v>304</v>
      </c>
      <c r="G139" s="302">
        <v>33000000</v>
      </c>
      <c r="H139" s="303" t="s">
        <v>155</v>
      </c>
      <c r="I139" s="310" t="str">
        <f>IFERROR(VLOOKUP(H139,[12]Listas!$B$126:$C$144,2,FALSE),"")</f>
        <v>Recursos del Balance - Propios</v>
      </c>
      <c r="J139" s="256">
        <v>11</v>
      </c>
      <c r="K139" s="256" t="s">
        <v>47</v>
      </c>
      <c r="L139" s="305"/>
      <c r="M139" s="270" t="str">
        <f t="shared" si="20"/>
        <v>INV-42103-11</v>
      </c>
      <c r="N139" s="205">
        <v>80111600</v>
      </c>
      <c r="O139" s="307" t="s">
        <v>310</v>
      </c>
      <c r="P139" s="244" t="s">
        <v>55</v>
      </c>
      <c r="Q139" s="244" t="s">
        <v>55</v>
      </c>
      <c r="R139" s="256">
        <v>11</v>
      </c>
      <c r="S139" s="299" t="s">
        <v>45</v>
      </c>
      <c r="T139" s="198" t="s">
        <v>48</v>
      </c>
      <c r="U139" s="272">
        <f t="shared" si="19"/>
        <v>33000000</v>
      </c>
      <c r="V139" s="272">
        <f t="shared" si="21"/>
        <v>33000000</v>
      </c>
      <c r="W139" s="299" t="s">
        <v>43</v>
      </c>
      <c r="X139" s="199" t="s">
        <v>46</v>
      </c>
      <c r="Y139" s="200" t="s">
        <v>380</v>
      </c>
      <c r="Z139" s="201" t="s">
        <v>49</v>
      </c>
      <c r="AA139" s="204" t="s">
        <v>379</v>
      </c>
      <c r="AB139" s="201" t="s">
        <v>101</v>
      </c>
      <c r="AC139" s="202" t="s">
        <v>50</v>
      </c>
      <c r="AD139" s="199" t="s">
        <v>43</v>
      </c>
      <c r="AE139" s="199" t="s">
        <v>47</v>
      </c>
      <c r="AF139" s="203" t="s">
        <v>72</v>
      </c>
      <c r="AG139" s="300" t="s">
        <v>73</v>
      </c>
      <c r="AH139" s="203" t="s">
        <v>74</v>
      </c>
      <c r="AI139" s="203" t="s">
        <v>298</v>
      </c>
      <c r="AJ139" s="203" t="s">
        <v>75</v>
      </c>
      <c r="AK139" s="203" t="s">
        <v>76</v>
      </c>
    </row>
    <row r="140" spans="1:37" s="137" customFormat="1" ht="45" hidden="1">
      <c r="A140" s="256">
        <v>42103</v>
      </c>
      <c r="B140" s="304" t="str">
        <f>IFERROR(VLOOKUP(A140,[12]Listas!$A$91:$B$107,2,FALSE),"")</f>
        <v>MEJORAMIENTO DE LA PRODUCCIÓN, CIRCULACIÓN Y APROPIACIÓN SOCIAL DEL CONOCIMIENTO</v>
      </c>
      <c r="C140" s="294" t="s">
        <v>295</v>
      </c>
      <c r="D140" s="295" t="s">
        <v>100</v>
      </c>
      <c r="E140" s="295" t="s">
        <v>67</v>
      </c>
      <c r="F140" s="309" t="s">
        <v>304</v>
      </c>
      <c r="G140" s="302">
        <v>5000000</v>
      </c>
      <c r="H140" s="303" t="s">
        <v>155</v>
      </c>
      <c r="I140" s="310" t="str">
        <f>IFERROR(VLOOKUP(H140,[12]Listas!$B$126:$C$144,2,FALSE),"")</f>
        <v>Recursos del Balance - Propios</v>
      </c>
      <c r="J140" s="256">
        <v>12</v>
      </c>
      <c r="K140" s="256" t="s">
        <v>47</v>
      </c>
      <c r="L140" s="305"/>
      <c r="M140" s="270" t="str">
        <f t="shared" si="20"/>
        <v>INV-42103-12</v>
      </c>
      <c r="N140" s="205">
        <v>80111600</v>
      </c>
      <c r="O140" s="154" t="s">
        <v>311</v>
      </c>
      <c r="P140" s="244" t="s">
        <v>55</v>
      </c>
      <c r="Q140" s="244" t="s">
        <v>55</v>
      </c>
      <c r="R140" s="256">
        <v>2</v>
      </c>
      <c r="S140" s="299" t="s">
        <v>45</v>
      </c>
      <c r="T140" s="198" t="s">
        <v>48</v>
      </c>
      <c r="U140" s="272">
        <f t="shared" si="19"/>
        <v>5000000</v>
      </c>
      <c r="V140" s="272">
        <f t="shared" si="21"/>
        <v>5000000</v>
      </c>
      <c r="W140" s="299" t="s">
        <v>43</v>
      </c>
      <c r="X140" s="199" t="s">
        <v>46</v>
      </c>
      <c r="Y140" s="200" t="s">
        <v>380</v>
      </c>
      <c r="Z140" s="201" t="s">
        <v>49</v>
      </c>
      <c r="AA140" s="204" t="s">
        <v>379</v>
      </c>
      <c r="AB140" s="201" t="s">
        <v>101</v>
      </c>
      <c r="AC140" s="202" t="s">
        <v>50</v>
      </c>
      <c r="AD140" s="199" t="s">
        <v>43</v>
      </c>
      <c r="AE140" s="199" t="s">
        <v>47</v>
      </c>
      <c r="AF140" s="203" t="s">
        <v>72</v>
      </c>
      <c r="AG140" s="300" t="s">
        <v>73</v>
      </c>
      <c r="AH140" s="203" t="s">
        <v>74</v>
      </c>
      <c r="AI140" s="203" t="s">
        <v>298</v>
      </c>
      <c r="AJ140" s="203" t="s">
        <v>75</v>
      </c>
      <c r="AK140" s="203" t="s">
        <v>76</v>
      </c>
    </row>
    <row r="141" spans="1:37" s="137" customFormat="1" ht="45" hidden="1">
      <c r="A141" s="256">
        <v>42103</v>
      </c>
      <c r="B141" s="304" t="str">
        <f>IFERROR(VLOOKUP(A141,[12]Listas!$A$91:$B$107,2,FALSE),"")</f>
        <v>MEJORAMIENTO DE LA PRODUCCIÓN, CIRCULACIÓN Y APROPIACIÓN SOCIAL DEL CONOCIMIENTO</v>
      </c>
      <c r="C141" s="294" t="s">
        <v>295</v>
      </c>
      <c r="D141" s="295" t="s">
        <v>100</v>
      </c>
      <c r="E141" s="295" t="s">
        <v>67</v>
      </c>
      <c r="F141" s="309" t="s">
        <v>304</v>
      </c>
      <c r="G141" s="311">
        <f>77000000-G170-G172</f>
        <v>67800000</v>
      </c>
      <c r="H141" s="312" t="s">
        <v>155</v>
      </c>
      <c r="I141" s="308" t="str">
        <f>IFERROR(VLOOKUP(H141,[12]Listas!$B$126:$C$144,2,FALSE),"")</f>
        <v>Recursos del Balance - Propios</v>
      </c>
      <c r="J141" s="275">
        <v>13</v>
      </c>
      <c r="K141" s="275" t="s">
        <v>47</v>
      </c>
      <c r="L141" s="305"/>
      <c r="M141" s="261" t="str">
        <f t="shared" si="20"/>
        <v>INV-42103-13</v>
      </c>
      <c r="N141" s="206">
        <v>80111600</v>
      </c>
      <c r="O141" s="155" t="s">
        <v>312</v>
      </c>
      <c r="P141" s="244" t="s">
        <v>55</v>
      </c>
      <c r="Q141" s="244" t="s">
        <v>55</v>
      </c>
      <c r="R141" s="256">
        <v>11</v>
      </c>
      <c r="S141" s="299" t="s">
        <v>45</v>
      </c>
      <c r="T141" s="198" t="s">
        <v>48</v>
      </c>
      <c r="U141" s="272">
        <f t="shared" si="19"/>
        <v>67800000</v>
      </c>
      <c r="V141" s="272">
        <f t="shared" si="21"/>
        <v>67800000</v>
      </c>
      <c r="W141" s="299" t="s">
        <v>43</v>
      </c>
      <c r="X141" s="199" t="s">
        <v>46</v>
      </c>
      <c r="Y141" s="200" t="s">
        <v>380</v>
      </c>
      <c r="Z141" s="201" t="s">
        <v>49</v>
      </c>
      <c r="AA141" s="204" t="s">
        <v>379</v>
      </c>
      <c r="AB141" s="201" t="s">
        <v>101</v>
      </c>
      <c r="AC141" s="202" t="s">
        <v>50</v>
      </c>
      <c r="AD141" s="199" t="s">
        <v>43</v>
      </c>
      <c r="AE141" s="199" t="s">
        <v>47</v>
      </c>
      <c r="AF141" s="203" t="s">
        <v>72</v>
      </c>
      <c r="AG141" s="300" t="s">
        <v>73</v>
      </c>
      <c r="AH141" s="203" t="s">
        <v>74</v>
      </c>
      <c r="AI141" s="203" t="s">
        <v>298</v>
      </c>
      <c r="AJ141" s="203" t="s">
        <v>75</v>
      </c>
      <c r="AK141" s="203" t="s">
        <v>76</v>
      </c>
    </row>
    <row r="142" spans="1:37" s="137" customFormat="1" ht="45" hidden="1">
      <c r="A142" s="256">
        <v>42103</v>
      </c>
      <c r="B142" s="304" t="str">
        <f>IFERROR(VLOOKUP(A142,[12]Listas!$A$91:$B$107,2,FALSE),"")</f>
        <v>MEJORAMIENTO DE LA PRODUCCIÓN, CIRCULACIÓN Y APROPIACIÓN SOCIAL DEL CONOCIMIENTO</v>
      </c>
      <c r="C142" s="294" t="s">
        <v>295</v>
      </c>
      <c r="D142" s="295" t="s">
        <v>100</v>
      </c>
      <c r="E142" s="295" t="s">
        <v>67</v>
      </c>
      <c r="F142" s="297" t="s">
        <v>304</v>
      </c>
      <c r="G142" s="302">
        <f>60000000+15000000-16900000-G154-G155-G156-G157-G158-G171</f>
        <v>32412000</v>
      </c>
      <c r="H142" s="303" t="s">
        <v>155</v>
      </c>
      <c r="I142" s="310" t="str">
        <f>IFERROR(VLOOKUP(H142,[12]Listas!$B$126:$C$144,2,FALSE),"")</f>
        <v>Recursos del Balance - Propios</v>
      </c>
      <c r="J142" s="425">
        <v>14</v>
      </c>
      <c r="K142" s="425" t="s">
        <v>47</v>
      </c>
      <c r="L142" s="553"/>
      <c r="M142" s="430" t="str">
        <f t="shared" si="20"/>
        <v>INV-42103-14</v>
      </c>
      <c r="N142" s="565">
        <v>80111600</v>
      </c>
      <c r="O142" s="567" t="s">
        <v>313</v>
      </c>
      <c r="P142" s="411" t="s">
        <v>55</v>
      </c>
      <c r="Q142" s="411" t="s">
        <v>55</v>
      </c>
      <c r="R142" s="425">
        <v>11</v>
      </c>
      <c r="S142" s="545" t="s">
        <v>45</v>
      </c>
      <c r="T142" s="547" t="s">
        <v>48</v>
      </c>
      <c r="U142" s="272">
        <f t="shared" si="19"/>
        <v>32412000</v>
      </c>
      <c r="V142" s="272">
        <f t="shared" si="21"/>
        <v>32412000</v>
      </c>
      <c r="W142" s="299" t="s">
        <v>43</v>
      </c>
      <c r="X142" s="199" t="s">
        <v>46</v>
      </c>
      <c r="Y142" s="200" t="s">
        <v>380</v>
      </c>
      <c r="Z142" s="201" t="s">
        <v>49</v>
      </c>
      <c r="AA142" s="204" t="s">
        <v>379</v>
      </c>
      <c r="AB142" s="201" t="s">
        <v>101</v>
      </c>
      <c r="AC142" s="202" t="s">
        <v>50</v>
      </c>
      <c r="AD142" s="199" t="s">
        <v>43</v>
      </c>
      <c r="AE142" s="199" t="s">
        <v>47</v>
      </c>
      <c r="AF142" s="203" t="s">
        <v>72</v>
      </c>
      <c r="AG142" s="300" t="s">
        <v>73</v>
      </c>
      <c r="AH142" s="203" t="s">
        <v>74</v>
      </c>
      <c r="AI142" s="203" t="s">
        <v>298</v>
      </c>
      <c r="AJ142" s="203" t="s">
        <v>75</v>
      </c>
      <c r="AK142" s="203" t="s">
        <v>76</v>
      </c>
    </row>
    <row r="143" spans="1:37" s="137" customFormat="1" ht="45" hidden="1">
      <c r="A143" s="256">
        <v>42103</v>
      </c>
      <c r="B143" s="304" t="str">
        <f>IFERROR(VLOOKUP(A143,[12]Listas!$A$91:$B$107,2,FALSE),"")</f>
        <v>MEJORAMIENTO DE LA PRODUCCIÓN, CIRCULACIÓN Y APROPIACIÓN SOCIAL DEL CONOCIMIENTO</v>
      </c>
      <c r="C143" s="294" t="s">
        <v>295</v>
      </c>
      <c r="D143" s="295" t="s">
        <v>100</v>
      </c>
      <c r="E143" s="295" t="s">
        <v>67</v>
      </c>
      <c r="F143" s="313" t="s">
        <v>304</v>
      </c>
      <c r="G143" s="311">
        <v>16900000</v>
      </c>
      <c r="H143" s="312" t="s">
        <v>300</v>
      </c>
      <c r="I143" s="308" t="str">
        <f>IFERROR(VLOOKUP(H143,[12]Listas!$B$126:$C$144,2,FALSE),"")</f>
        <v>Recursos Propios</v>
      </c>
      <c r="J143" s="436"/>
      <c r="K143" s="436"/>
      <c r="L143" s="554"/>
      <c r="M143" s="431"/>
      <c r="N143" s="566"/>
      <c r="O143" s="567"/>
      <c r="P143" s="412"/>
      <c r="Q143" s="412"/>
      <c r="R143" s="426"/>
      <c r="S143" s="546"/>
      <c r="T143" s="548"/>
      <c r="U143" s="272">
        <f t="shared" si="19"/>
        <v>16900000</v>
      </c>
      <c r="V143" s="272">
        <f t="shared" si="21"/>
        <v>16900000</v>
      </c>
      <c r="W143" s="299" t="s">
        <v>43</v>
      </c>
      <c r="X143" s="199" t="s">
        <v>46</v>
      </c>
      <c r="Y143" s="200" t="s">
        <v>380</v>
      </c>
      <c r="Z143" s="201" t="s">
        <v>49</v>
      </c>
      <c r="AA143" s="204" t="s">
        <v>379</v>
      </c>
      <c r="AB143" s="201" t="s">
        <v>101</v>
      </c>
      <c r="AC143" s="202" t="s">
        <v>50</v>
      </c>
      <c r="AD143" s="199" t="s">
        <v>43</v>
      </c>
      <c r="AE143" s="199" t="s">
        <v>47</v>
      </c>
      <c r="AF143" s="203" t="s">
        <v>72</v>
      </c>
      <c r="AG143" s="300" t="s">
        <v>73</v>
      </c>
      <c r="AH143" s="203" t="s">
        <v>74</v>
      </c>
      <c r="AI143" s="203" t="s">
        <v>298</v>
      </c>
      <c r="AJ143" s="203" t="s">
        <v>75</v>
      </c>
      <c r="AK143" s="203" t="s">
        <v>76</v>
      </c>
    </row>
    <row r="144" spans="1:37" s="137" customFormat="1" ht="56.25" hidden="1" customHeight="1">
      <c r="A144" s="256">
        <v>42103</v>
      </c>
      <c r="B144" s="304" t="str">
        <f>IFERROR(VLOOKUP(A144,[12]Listas!$A$91:$B$107,2,FALSE),"")</f>
        <v>MEJORAMIENTO DE LA PRODUCCIÓN, CIRCULACIÓN Y APROPIACIÓN SOCIAL DEL CONOCIMIENTO</v>
      </c>
      <c r="C144" s="294" t="s">
        <v>295</v>
      </c>
      <c r="D144" s="295" t="s">
        <v>100</v>
      </c>
      <c r="E144" s="295" t="s">
        <v>67</v>
      </c>
      <c r="F144" s="314" t="s">
        <v>314</v>
      </c>
      <c r="G144" s="302">
        <v>44075200</v>
      </c>
      <c r="H144" s="303" t="s">
        <v>155</v>
      </c>
      <c r="I144" s="310" t="str">
        <f>IFERROR(VLOOKUP(H144,[12]Listas!$B$126:$C$144,2,FALSE),"")</f>
        <v>Recursos del Balance - Propios</v>
      </c>
      <c r="J144" s="256">
        <v>15</v>
      </c>
      <c r="K144" s="256" t="s">
        <v>43</v>
      </c>
      <c r="L144" s="305"/>
      <c r="M144" s="270" t="str">
        <f t="shared" si="20"/>
        <v>INV-42103-15</v>
      </c>
      <c r="N144" s="307" t="s">
        <v>113</v>
      </c>
      <c r="O144" s="315" t="s">
        <v>315</v>
      </c>
      <c r="P144" s="244" t="s">
        <v>55</v>
      </c>
      <c r="Q144" s="244" t="s">
        <v>55</v>
      </c>
      <c r="R144" s="256">
        <v>5</v>
      </c>
      <c r="S144" s="299" t="s">
        <v>45</v>
      </c>
      <c r="T144" s="198" t="s">
        <v>48</v>
      </c>
      <c r="U144" s="272">
        <f t="shared" si="19"/>
        <v>44075200</v>
      </c>
      <c r="V144" s="272">
        <f t="shared" si="21"/>
        <v>44075200</v>
      </c>
      <c r="W144" s="299" t="s">
        <v>43</v>
      </c>
      <c r="X144" s="199" t="s">
        <v>46</v>
      </c>
      <c r="Y144" s="200" t="s">
        <v>380</v>
      </c>
      <c r="Z144" s="201" t="s">
        <v>49</v>
      </c>
      <c r="AA144" s="204" t="s">
        <v>379</v>
      </c>
      <c r="AB144" s="201" t="s">
        <v>101</v>
      </c>
      <c r="AC144" s="202" t="s">
        <v>50</v>
      </c>
      <c r="AD144" s="199" t="s">
        <v>43</v>
      </c>
      <c r="AE144" s="199" t="s">
        <v>47</v>
      </c>
      <c r="AF144" s="203" t="s">
        <v>72</v>
      </c>
      <c r="AG144" s="300" t="s">
        <v>73</v>
      </c>
      <c r="AH144" s="203" t="s">
        <v>74</v>
      </c>
      <c r="AI144" s="203" t="s">
        <v>298</v>
      </c>
      <c r="AJ144" s="203" t="s">
        <v>75</v>
      </c>
      <c r="AK144" s="203" t="s">
        <v>76</v>
      </c>
    </row>
    <row r="145" spans="1:37" s="137" customFormat="1" ht="48" hidden="1">
      <c r="A145" s="256">
        <v>42103</v>
      </c>
      <c r="B145" s="304" t="str">
        <f>IFERROR(VLOOKUP(A145,[12]Listas!$A$91:$B$107,2,FALSE),"")</f>
        <v>MEJORAMIENTO DE LA PRODUCCIÓN, CIRCULACIÓN Y APROPIACIÓN SOCIAL DEL CONOCIMIENTO</v>
      </c>
      <c r="C145" s="294" t="s">
        <v>295</v>
      </c>
      <c r="D145" s="295" t="s">
        <v>100</v>
      </c>
      <c r="E145" s="295" t="s">
        <v>67</v>
      </c>
      <c r="F145" s="407" t="s">
        <v>304</v>
      </c>
      <c r="G145" s="157">
        <v>45000000</v>
      </c>
      <c r="H145" s="158" t="s">
        <v>300</v>
      </c>
      <c r="I145" s="159" t="str">
        <f>IFERROR(VLOOKUP(H145,[12]Listas!$B$126:$C$144,2,FALSE),"")</f>
        <v>Recursos Propios</v>
      </c>
      <c r="J145" s="160">
        <v>16</v>
      </c>
      <c r="K145" s="160" t="s">
        <v>47</v>
      </c>
      <c r="L145" s="400"/>
      <c r="M145" s="161" t="str">
        <f t="shared" si="20"/>
        <v>INV-42103-16</v>
      </c>
      <c r="N145" s="306" t="s">
        <v>545</v>
      </c>
      <c r="O145" s="162" t="s">
        <v>316</v>
      </c>
      <c r="P145" s="244" t="s">
        <v>55</v>
      </c>
      <c r="Q145" s="244" t="s">
        <v>55</v>
      </c>
      <c r="R145" s="256">
        <v>6</v>
      </c>
      <c r="S145" s="299" t="s">
        <v>45</v>
      </c>
      <c r="T145" s="198" t="s">
        <v>48</v>
      </c>
      <c r="U145" s="272">
        <f t="shared" si="19"/>
        <v>45000000</v>
      </c>
      <c r="V145" s="272">
        <f t="shared" si="21"/>
        <v>45000000</v>
      </c>
      <c r="W145" s="299" t="s">
        <v>43</v>
      </c>
      <c r="X145" s="199" t="s">
        <v>46</v>
      </c>
      <c r="Y145" s="200" t="s">
        <v>380</v>
      </c>
      <c r="Z145" s="201" t="s">
        <v>49</v>
      </c>
      <c r="AA145" s="204" t="s">
        <v>379</v>
      </c>
      <c r="AB145" s="201" t="s">
        <v>101</v>
      </c>
      <c r="AC145" s="202" t="s">
        <v>50</v>
      </c>
      <c r="AD145" s="199" t="s">
        <v>43</v>
      </c>
      <c r="AE145" s="199" t="s">
        <v>47</v>
      </c>
      <c r="AF145" s="203" t="s">
        <v>72</v>
      </c>
      <c r="AG145" s="300" t="s">
        <v>73</v>
      </c>
      <c r="AH145" s="203" t="s">
        <v>74</v>
      </c>
      <c r="AI145" s="203" t="s">
        <v>298</v>
      </c>
      <c r="AJ145" s="203" t="s">
        <v>75</v>
      </c>
      <c r="AK145" s="203" t="s">
        <v>76</v>
      </c>
    </row>
    <row r="146" spans="1:37" s="137" customFormat="1" ht="45" hidden="1">
      <c r="A146" s="256">
        <v>42103</v>
      </c>
      <c r="B146" s="304" t="str">
        <f>IFERROR(VLOOKUP(A146,[12]Listas!$A$91:$B$107,2,FALSE),"")</f>
        <v>MEJORAMIENTO DE LA PRODUCCIÓN, CIRCULACIÓN Y APROPIACIÓN SOCIAL DEL CONOCIMIENTO</v>
      </c>
      <c r="C146" s="294" t="s">
        <v>295</v>
      </c>
      <c r="D146" s="295" t="s">
        <v>100</v>
      </c>
      <c r="E146" s="295" t="s">
        <v>67</v>
      </c>
      <c r="F146" s="297" t="s">
        <v>304</v>
      </c>
      <c r="G146" s="302">
        <v>5600000</v>
      </c>
      <c r="H146" s="303" t="s">
        <v>300</v>
      </c>
      <c r="I146" s="310" t="str">
        <f>IFERROR(VLOOKUP(H146,[12]Listas!$B$126:$C$144,2,FALSE),"")</f>
        <v>Recursos Propios</v>
      </c>
      <c r="J146" s="256">
        <v>17</v>
      </c>
      <c r="K146" s="256" t="s">
        <v>43</v>
      </c>
      <c r="L146" s="305"/>
      <c r="M146" s="270" t="str">
        <f t="shared" si="20"/>
        <v>INV-42103-17</v>
      </c>
      <c r="N146" s="306" t="s">
        <v>113</v>
      </c>
      <c r="O146" s="154" t="s">
        <v>383</v>
      </c>
      <c r="P146" s="244" t="s">
        <v>55</v>
      </c>
      <c r="Q146" s="244" t="s">
        <v>55</v>
      </c>
      <c r="R146" s="256">
        <v>4</v>
      </c>
      <c r="S146" s="299" t="s">
        <v>45</v>
      </c>
      <c r="T146" s="198" t="s">
        <v>48</v>
      </c>
      <c r="U146" s="272">
        <f t="shared" si="19"/>
        <v>5600000</v>
      </c>
      <c r="V146" s="272">
        <f t="shared" si="21"/>
        <v>5600000</v>
      </c>
      <c r="W146" s="299" t="s">
        <v>43</v>
      </c>
      <c r="X146" s="199" t="s">
        <v>46</v>
      </c>
      <c r="Y146" s="200" t="s">
        <v>380</v>
      </c>
      <c r="Z146" s="201" t="s">
        <v>49</v>
      </c>
      <c r="AA146" s="204" t="s">
        <v>379</v>
      </c>
      <c r="AB146" s="201" t="s">
        <v>101</v>
      </c>
      <c r="AC146" s="202" t="s">
        <v>50</v>
      </c>
      <c r="AD146" s="199" t="s">
        <v>43</v>
      </c>
      <c r="AE146" s="199" t="s">
        <v>47</v>
      </c>
      <c r="AF146" s="203" t="s">
        <v>72</v>
      </c>
      <c r="AG146" s="300" t="s">
        <v>73</v>
      </c>
      <c r="AH146" s="203" t="s">
        <v>74</v>
      </c>
      <c r="AI146" s="203" t="s">
        <v>298</v>
      </c>
      <c r="AJ146" s="203" t="s">
        <v>75</v>
      </c>
      <c r="AK146" s="203" t="s">
        <v>76</v>
      </c>
    </row>
    <row r="147" spans="1:37" s="137" customFormat="1" ht="84" hidden="1" customHeight="1">
      <c r="A147" s="256">
        <v>42103</v>
      </c>
      <c r="B147" s="304" t="str">
        <f>IFERROR(VLOOKUP(A147,[12]Listas!$A$91:$B$107,2,FALSE),"")</f>
        <v>MEJORAMIENTO DE LA PRODUCCIÓN, CIRCULACIÓN Y APROPIACIÓN SOCIAL DEL CONOCIMIENTO</v>
      </c>
      <c r="C147" s="294" t="s">
        <v>295</v>
      </c>
      <c r="D147" s="295" t="s">
        <v>100</v>
      </c>
      <c r="E147" s="295" t="s">
        <v>67</v>
      </c>
      <c r="F147" s="163" t="s">
        <v>317</v>
      </c>
      <c r="G147" s="302">
        <v>16559906</v>
      </c>
      <c r="H147" s="303" t="s">
        <v>155</v>
      </c>
      <c r="I147" s="310" t="str">
        <f>IFERROR(VLOOKUP(H147,[12]Listas!$B$126:$C$144,2,FALSE),"")</f>
        <v>Recursos del Balance - Propios</v>
      </c>
      <c r="J147" s="160">
        <v>18</v>
      </c>
      <c r="K147" s="160" t="s">
        <v>47</v>
      </c>
      <c r="L147" s="305"/>
      <c r="M147" s="270" t="str">
        <f t="shared" si="20"/>
        <v>INV-42103-18</v>
      </c>
      <c r="N147" s="294" t="s">
        <v>506</v>
      </c>
      <c r="O147" s="154" t="s">
        <v>318</v>
      </c>
      <c r="P147" s="244" t="s">
        <v>55</v>
      </c>
      <c r="Q147" s="244" t="s">
        <v>55</v>
      </c>
      <c r="R147" s="256">
        <v>4</v>
      </c>
      <c r="S147" s="299" t="s">
        <v>45</v>
      </c>
      <c r="T147" s="198" t="s">
        <v>48</v>
      </c>
      <c r="U147" s="272">
        <f t="shared" si="19"/>
        <v>16559906</v>
      </c>
      <c r="V147" s="272">
        <f t="shared" si="21"/>
        <v>16559906</v>
      </c>
      <c r="W147" s="299" t="s">
        <v>43</v>
      </c>
      <c r="X147" s="199" t="s">
        <v>46</v>
      </c>
      <c r="Y147" s="200" t="s">
        <v>380</v>
      </c>
      <c r="Z147" s="201" t="s">
        <v>49</v>
      </c>
      <c r="AA147" s="204" t="s">
        <v>379</v>
      </c>
      <c r="AB147" s="201" t="s">
        <v>101</v>
      </c>
      <c r="AC147" s="202" t="s">
        <v>50</v>
      </c>
      <c r="AD147" s="199" t="s">
        <v>43</v>
      </c>
      <c r="AE147" s="199" t="s">
        <v>47</v>
      </c>
      <c r="AF147" s="203" t="s">
        <v>72</v>
      </c>
      <c r="AG147" s="300" t="s">
        <v>73</v>
      </c>
      <c r="AH147" s="203" t="s">
        <v>74</v>
      </c>
      <c r="AI147" s="203" t="s">
        <v>298</v>
      </c>
      <c r="AJ147" s="203" t="s">
        <v>75</v>
      </c>
      <c r="AK147" s="203" t="s">
        <v>76</v>
      </c>
    </row>
    <row r="148" spans="1:37" s="137" customFormat="1" ht="45" hidden="1">
      <c r="A148" s="256">
        <v>42103</v>
      </c>
      <c r="B148" s="304" t="str">
        <f>IFERROR(VLOOKUP(A148,[12]Listas!$A$91:$B$107,2,FALSE),"")</f>
        <v>MEJORAMIENTO DE LA PRODUCCIÓN, CIRCULACIÓN Y APROPIACIÓN SOCIAL DEL CONOCIMIENTO</v>
      </c>
      <c r="C148" s="294" t="s">
        <v>295</v>
      </c>
      <c r="D148" s="295" t="s">
        <v>100</v>
      </c>
      <c r="E148" s="295" t="s">
        <v>67</v>
      </c>
      <c r="F148" s="297" t="s">
        <v>304</v>
      </c>
      <c r="G148" s="302">
        <v>1781000</v>
      </c>
      <c r="H148" s="303" t="s">
        <v>300</v>
      </c>
      <c r="I148" s="310" t="str">
        <f>IFERROR(VLOOKUP(H148,[12]Listas!$B$126:$C$144,2,FALSE),"")</f>
        <v>Recursos Propios</v>
      </c>
      <c r="J148" s="256">
        <v>19</v>
      </c>
      <c r="K148" s="256" t="s">
        <v>43</v>
      </c>
      <c r="L148" s="305"/>
      <c r="M148" s="270" t="str">
        <f t="shared" si="20"/>
        <v>INV-42103-19</v>
      </c>
      <c r="N148" s="316" t="s">
        <v>113</v>
      </c>
      <c r="O148" s="154" t="s">
        <v>319</v>
      </c>
      <c r="P148" s="244" t="s">
        <v>55</v>
      </c>
      <c r="Q148" s="244" t="s">
        <v>55</v>
      </c>
      <c r="R148" s="256">
        <v>4</v>
      </c>
      <c r="S148" s="299" t="s">
        <v>45</v>
      </c>
      <c r="T148" s="198" t="s">
        <v>48</v>
      </c>
      <c r="U148" s="272">
        <f t="shared" si="19"/>
        <v>1781000</v>
      </c>
      <c r="V148" s="272">
        <f t="shared" si="21"/>
        <v>1781000</v>
      </c>
      <c r="W148" s="299" t="s">
        <v>43</v>
      </c>
      <c r="X148" s="199" t="s">
        <v>46</v>
      </c>
      <c r="Y148" s="200" t="s">
        <v>380</v>
      </c>
      <c r="Z148" s="201" t="s">
        <v>49</v>
      </c>
      <c r="AA148" s="204" t="s">
        <v>379</v>
      </c>
      <c r="AB148" s="201" t="s">
        <v>101</v>
      </c>
      <c r="AC148" s="202" t="s">
        <v>50</v>
      </c>
      <c r="AD148" s="199" t="s">
        <v>43</v>
      </c>
      <c r="AE148" s="199" t="s">
        <v>47</v>
      </c>
      <c r="AF148" s="203" t="s">
        <v>72</v>
      </c>
      <c r="AG148" s="300" t="s">
        <v>73</v>
      </c>
      <c r="AH148" s="203" t="s">
        <v>74</v>
      </c>
      <c r="AI148" s="203" t="s">
        <v>298</v>
      </c>
      <c r="AJ148" s="203" t="s">
        <v>75</v>
      </c>
      <c r="AK148" s="203" t="s">
        <v>76</v>
      </c>
    </row>
    <row r="149" spans="1:37" s="137" customFormat="1" ht="48" hidden="1">
      <c r="A149" s="256">
        <v>42103</v>
      </c>
      <c r="B149" s="304" t="str">
        <f>IFERROR(VLOOKUP(A149,[12]Listas!$A$91:$B$107,2,FALSE),"")</f>
        <v>MEJORAMIENTO DE LA PRODUCCIÓN, CIRCULACIÓN Y APROPIACIÓN SOCIAL DEL CONOCIMIENTO</v>
      </c>
      <c r="C149" s="294" t="s">
        <v>295</v>
      </c>
      <c r="D149" s="295" t="s">
        <v>100</v>
      </c>
      <c r="E149" s="295" t="s">
        <v>67</v>
      </c>
      <c r="F149" s="297" t="s">
        <v>304</v>
      </c>
      <c r="G149" s="302">
        <v>45000000</v>
      </c>
      <c r="H149" s="303" t="s">
        <v>300</v>
      </c>
      <c r="I149" s="310" t="str">
        <f>IFERROR(VLOOKUP(H149,[12]Listas!$B$126:$C$144,2,FALSE),"")</f>
        <v>Recursos Propios</v>
      </c>
      <c r="J149" s="256">
        <v>20</v>
      </c>
      <c r="K149" s="256" t="s">
        <v>47</v>
      </c>
      <c r="L149" s="305"/>
      <c r="M149" s="270" t="str">
        <f t="shared" si="20"/>
        <v>INV-42103-20</v>
      </c>
      <c r="N149" s="317" t="s">
        <v>507</v>
      </c>
      <c r="O149" s="154" t="s">
        <v>320</v>
      </c>
      <c r="P149" s="244" t="s">
        <v>55</v>
      </c>
      <c r="Q149" s="244" t="s">
        <v>55</v>
      </c>
      <c r="R149" s="256">
        <v>4</v>
      </c>
      <c r="S149" s="299" t="s">
        <v>45</v>
      </c>
      <c r="T149" s="198" t="s">
        <v>48</v>
      </c>
      <c r="U149" s="272">
        <f t="shared" si="19"/>
        <v>45000000</v>
      </c>
      <c r="V149" s="272">
        <f t="shared" si="21"/>
        <v>45000000</v>
      </c>
      <c r="W149" s="299" t="s">
        <v>43</v>
      </c>
      <c r="X149" s="199" t="s">
        <v>46</v>
      </c>
      <c r="Y149" s="200" t="s">
        <v>380</v>
      </c>
      <c r="Z149" s="201" t="s">
        <v>49</v>
      </c>
      <c r="AA149" s="204" t="s">
        <v>379</v>
      </c>
      <c r="AB149" s="201" t="s">
        <v>101</v>
      </c>
      <c r="AC149" s="202" t="s">
        <v>50</v>
      </c>
      <c r="AD149" s="199" t="s">
        <v>43</v>
      </c>
      <c r="AE149" s="199" t="s">
        <v>47</v>
      </c>
      <c r="AF149" s="203" t="s">
        <v>72</v>
      </c>
      <c r="AG149" s="300" t="s">
        <v>73</v>
      </c>
      <c r="AH149" s="203" t="s">
        <v>74</v>
      </c>
      <c r="AI149" s="203" t="s">
        <v>298</v>
      </c>
      <c r="AJ149" s="203" t="s">
        <v>75</v>
      </c>
      <c r="AK149" s="203" t="s">
        <v>76</v>
      </c>
    </row>
    <row r="150" spans="1:37" s="137" customFormat="1" ht="48" hidden="1">
      <c r="A150" s="256">
        <v>42103</v>
      </c>
      <c r="B150" s="304" t="str">
        <f>IFERROR(VLOOKUP(A150,[12]Listas!$A$91:$B$107,2,FALSE),"")</f>
        <v>MEJORAMIENTO DE LA PRODUCCIÓN, CIRCULACIÓN Y APROPIACIÓN SOCIAL DEL CONOCIMIENTO</v>
      </c>
      <c r="C150" s="294" t="s">
        <v>295</v>
      </c>
      <c r="D150" s="295" t="s">
        <v>100</v>
      </c>
      <c r="E150" s="295" t="s">
        <v>67</v>
      </c>
      <c r="F150" s="297" t="s">
        <v>304</v>
      </c>
      <c r="G150" s="302">
        <v>2300000</v>
      </c>
      <c r="H150" s="303" t="s">
        <v>300</v>
      </c>
      <c r="I150" s="310" t="str">
        <f>IFERROR(VLOOKUP(H150,[12]Listas!$B$126:$C$144,2,FALSE),"")</f>
        <v>Recursos Propios</v>
      </c>
      <c r="J150" s="256">
        <v>21</v>
      </c>
      <c r="K150" s="256" t="s">
        <v>47</v>
      </c>
      <c r="L150" s="305"/>
      <c r="M150" s="270" t="str">
        <f t="shared" si="20"/>
        <v>INV-42103-21</v>
      </c>
      <c r="N150" s="317" t="s">
        <v>508</v>
      </c>
      <c r="O150" s="307" t="s">
        <v>509</v>
      </c>
      <c r="P150" s="244" t="s">
        <v>55</v>
      </c>
      <c r="Q150" s="244" t="s">
        <v>55</v>
      </c>
      <c r="R150" s="256">
        <v>4</v>
      </c>
      <c r="S150" s="299" t="s">
        <v>45</v>
      </c>
      <c r="T150" s="198" t="s">
        <v>48</v>
      </c>
      <c r="U150" s="272">
        <f t="shared" si="19"/>
        <v>2300000</v>
      </c>
      <c r="V150" s="272">
        <f t="shared" si="21"/>
        <v>2300000</v>
      </c>
      <c r="W150" s="299" t="s">
        <v>43</v>
      </c>
      <c r="X150" s="199" t="s">
        <v>46</v>
      </c>
      <c r="Y150" s="200" t="s">
        <v>380</v>
      </c>
      <c r="Z150" s="201" t="s">
        <v>49</v>
      </c>
      <c r="AA150" s="204" t="s">
        <v>379</v>
      </c>
      <c r="AB150" s="201" t="s">
        <v>101</v>
      </c>
      <c r="AC150" s="202" t="s">
        <v>50</v>
      </c>
      <c r="AD150" s="199" t="s">
        <v>43</v>
      </c>
      <c r="AE150" s="199" t="s">
        <v>47</v>
      </c>
      <c r="AF150" s="203" t="s">
        <v>72</v>
      </c>
      <c r="AG150" s="300" t="s">
        <v>73</v>
      </c>
      <c r="AH150" s="203" t="s">
        <v>74</v>
      </c>
      <c r="AI150" s="203" t="s">
        <v>298</v>
      </c>
      <c r="AJ150" s="203" t="s">
        <v>75</v>
      </c>
      <c r="AK150" s="203" t="s">
        <v>76</v>
      </c>
    </row>
    <row r="151" spans="1:37" s="137" customFormat="1" ht="48" hidden="1">
      <c r="A151" s="256">
        <v>42103</v>
      </c>
      <c r="B151" s="304" t="str">
        <f>IFERROR(VLOOKUP(A151,[12]Listas!$A$91:$B$107,2,FALSE),"")</f>
        <v>MEJORAMIENTO DE LA PRODUCCIÓN, CIRCULACIÓN Y APROPIACIÓN SOCIAL DEL CONOCIMIENTO</v>
      </c>
      <c r="C151" s="294" t="s">
        <v>295</v>
      </c>
      <c r="D151" s="295" t="s">
        <v>100</v>
      </c>
      <c r="E151" s="295" t="s">
        <v>67</v>
      </c>
      <c r="F151" s="297" t="s">
        <v>304</v>
      </c>
      <c r="G151" s="302">
        <v>16700000</v>
      </c>
      <c r="H151" s="303" t="s">
        <v>300</v>
      </c>
      <c r="I151" s="310" t="str">
        <f>IFERROR(VLOOKUP(H151,[12]Listas!$B$126:$C$144,2,FALSE),"")</f>
        <v>Recursos Propios</v>
      </c>
      <c r="J151" s="256">
        <v>22</v>
      </c>
      <c r="K151" s="256" t="s">
        <v>43</v>
      </c>
      <c r="L151" s="305"/>
      <c r="M151" s="270" t="str">
        <f t="shared" si="20"/>
        <v>INV-42103-22</v>
      </c>
      <c r="N151" s="245" t="s">
        <v>113</v>
      </c>
      <c r="O151" s="307" t="s">
        <v>384</v>
      </c>
      <c r="P151" s="244" t="s">
        <v>55</v>
      </c>
      <c r="Q151" s="244" t="s">
        <v>55</v>
      </c>
      <c r="R151" s="256">
        <v>4</v>
      </c>
      <c r="S151" s="299" t="s">
        <v>45</v>
      </c>
      <c r="T151" s="198" t="s">
        <v>48</v>
      </c>
      <c r="U151" s="272">
        <f t="shared" si="19"/>
        <v>16700000</v>
      </c>
      <c r="V151" s="272">
        <f t="shared" si="21"/>
        <v>16700000</v>
      </c>
      <c r="W151" s="299" t="s">
        <v>43</v>
      </c>
      <c r="X151" s="199" t="s">
        <v>46</v>
      </c>
      <c r="Y151" s="200" t="s">
        <v>380</v>
      </c>
      <c r="Z151" s="201" t="s">
        <v>49</v>
      </c>
      <c r="AA151" s="204" t="s">
        <v>379</v>
      </c>
      <c r="AB151" s="201" t="s">
        <v>101</v>
      </c>
      <c r="AC151" s="202" t="s">
        <v>50</v>
      </c>
      <c r="AD151" s="199" t="s">
        <v>43</v>
      </c>
      <c r="AE151" s="199" t="s">
        <v>47</v>
      </c>
      <c r="AF151" s="203" t="s">
        <v>72</v>
      </c>
      <c r="AG151" s="300" t="s">
        <v>73</v>
      </c>
      <c r="AH151" s="203" t="s">
        <v>74</v>
      </c>
      <c r="AI151" s="203" t="s">
        <v>298</v>
      </c>
      <c r="AJ151" s="203" t="s">
        <v>75</v>
      </c>
      <c r="AK151" s="203" t="s">
        <v>76</v>
      </c>
    </row>
    <row r="152" spans="1:37" s="137" customFormat="1" ht="45" hidden="1">
      <c r="A152" s="256">
        <v>42103</v>
      </c>
      <c r="B152" s="304" t="str">
        <f>IFERROR(VLOOKUP(A152,[12]Listas!$A$91:$B$107,2,FALSE),"")</f>
        <v>MEJORAMIENTO DE LA PRODUCCIÓN, CIRCULACIÓN Y APROPIACIÓN SOCIAL DEL CONOCIMIENTO</v>
      </c>
      <c r="C152" s="294" t="s">
        <v>295</v>
      </c>
      <c r="D152" s="295" t="s">
        <v>100</v>
      </c>
      <c r="E152" s="295" t="s">
        <v>67</v>
      </c>
      <c r="F152" s="163" t="s">
        <v>314</v>
      </c>
      <c r="G152" s="302">
        <v>7000000</v>
      </c>
      <c r="H152" s="303" t="s">
        <v>300</v>
      </c>
      <c r="I152" s="310" t="str">
        <f>IFERROR(VLOOKUP(H152,[12]Listas!$B$126:$C$144,2,FALSE),"")</f>
        <v>Recursos Propios</v>
      </c>
      <c r="J152" s="256">
        <v>23</v>
      </c>
      <c r="K152" s="256" t="s">
        <v>47</v>
      </c>
      <c r="L152" s="305"/>
      <c r="M152" s="270" t="str">
        <f t="shared" si="20"/>
        <v>INV-42103-23</v>
      </c>
      <c r="N152" s="306">
        <v>14111800</v>
      </c>
      <c r="O152" s="154" t="s">
        <v>321</v>
      </c>
      <c r="P152" s="244" t="s">
        <v>55</v>
      </c>
      <c r="Q152" s="244" t="s">
        <v>55</v>
      </c>
      <c r="R152" s="256">
        <v>4</v>
      </c>
      <c r="S152" s="299" t="s">
        <v>45</v>
      </c>
      <c r="T152" s="198" t="s">
        <v>48</v>
      </c>
      <c r="U152" s="272">
        <f t="shared" si="19"/>
        <v>7000000</v>
      </c>
      <c r="V152" s="272">
        <f t="shared" si="21"/>
        <v>7000000</v>
      </c>
      <c r="W152" s="299" t="s">
        <v>43</v>
      </c>
      <c r="X152" s="199" t="s">
        <v>46</v>
      </c>
      <c r="Y152" s="200" t="s">
        <v>380</v>
      </c>
      <c r="Z152" s="201" t="s">
        <v>49</v>
      </c>
      <c r="AA152" s="204" t="s">
        <v>379</v>
      </c>
      <c r="AB152" s="201" t="s">
        <v>101</v>
      </c>
      <c r="AC152" s="202" t="s">
        <v>50</v>
      </c>
      <c r="AD152" s="199" t="s">
        <v>43</v>
      </c>
      <c r="AE152" s="199" t="s">
        <v>47</v>
      </c>
      <c r="AF152" s="203" t="s">
        <v>72</v>
      </c>
      <c r="AG152" s="300" t="s">
        <v>73</v>
      </c>
      <c r="AH152" s="203" t="s">
        <v>74</v>
      </c>
      <c r="AI152" s="203" t="s">
        <v>298</v>
      </c>
      <c r="AJ152" s="203" t="s">
        <v>75</v>
      </c>
      <c r="AK152" s="203" t="s">
        <v>76</v>
      </c>
    </row>
    <row r="153" spans="1:37" s="137" customFormat="1" ht="60" hidden="1">
      <c r="A153" s="256">
        <v>42103</v>
      </c>
      <c r="B153" s="304" t="str">
        <f>IFERROR(VLOOKUP(A153,[12]Listas!$A$91:$B$107,2,FALSE),"")</f>
        <v>MEJORAMIENTO DE LA PRODUCCIÓN, CIRCULACIÓN Y APROPIACIÓN SOCIAL DEL CONOCIMIENTO</v>
      </c>
      <c r="C153" s="294" t="s">
        <v>295</v>
      </c>
      <c r="D153" s="295" t="s">
        <v>100</v>
      </c>
      <c r="E153" s="295" t="s">
        <v>67</v>
      </c>
      <c r="F153" s="163" t="s">
        <v>317</v>
      </c>
      <c r="G153" s="302">
        <v>20000000</v>
      </c>
      <c r="H153" s="303" t="s">
        <v>300</v>
      </c>
      <c r="I153" s="310" t="str">
        <f>IFERROR(VLOOKUP(H153,[12]Listas!$B$126:$C$144,2,FALSE),"")</f>
        <v>Recursos Propios</v>
      </c>
      <c r="J153" s="256">
        <v>24</v>
      </c>
      <c r="K153" s="256" t="s">
        <v>47</v>
      </c>
      <c r="L153" s="305"/>
      <c r="M153" s="270" t="str">
        <f t="shared" si="20"/>
        <v>INV-42103-24</v>
      </c>
      <c r="N153" s="294" t="s">
        <v>510</v>
      </c>
      <c r="O153" s="154" t="s">
        <v>322</v>
      </c>
      <c r="P153" s="244" t="s">
        <v>55</v>
      </c>
      <c r="Q153" s="244" t="s">
        <v>55</v>
      </c>
      <c r="R153" s="256">
        <v>11</v>
      </c>
      <c r="S153" s="299" t="s">
        <v>45</v>
      </c>
      <c r="T153" s="198" t="s">
        <v>48</v>
      </c>
      <c r="U153" s="272">
        <f t="shared" si="19"/>
        <v>20000000</v>
      </c>
      <c r="V153" s="272">
        <f t="shared" si="21"/>
        <v>20000000</v>
      </c>
      <c r="W153" s="299" t="s">
        <v>43</v>
      </c>
      <c r="X153" s="199" t="s">
        <v>46</v>
      </c>
      <c r="Y153" s="200" t="s">
        <v>380</v>
      </c>
      <c r="Z153" s="201" t="s">
        <v>49</v>
      </c>
      <c r="AA153" s="204" t="s">
        <v>379</v>
      </c>
      <c r="AB153" s="201" t="s">
        <v>101</v>
      </c>
      <c r="AC153" s="202" t="s">
        <v>50</v>
      </c>
      <c r="AD153" s="199" t="s">
        <v>43</v>
      </c>
      <c r="AE153" s="199" t="s">
        <v>47</v>
      </c>
      <c r="AF153" s="203" t="s">
        <v>72</v>
      </c>
      <c r="AG153" s="300" t="s">
        <v>73</v>
      </c>
      <c r="AH153" s="203" t="s">
        <v>74</v>
      </c>
      <c r="AI153" s="203" t="s">
        <v>298</v>
      </c>
      <c r="AJ153" s="203" t="s">
        <v>75</v>
      </c>
      <c r="AK153" s="203" t="s">
        <v>76</v>
      </c>
    </row>
    <row r="154" spans="1:37" s="328" customFormat="1" ht="45" hidden="1">
      <c r="A154" s="318">
        <v>42103</v>
      </c>
      <c r="B154" s="347" t="str">
        <f>IFERROR(VLOOKUP(A154,[13]Listas!$A$91:$B$107,2,FALSE),"")</f>
        <v>MEJORAMIENTO DE LA PRODUCCIÓN, CIRCULACIÓN Y APROPIACIÓN SOCIAL DEL CONOCIMIENTO</v>
      </c>
      <c r="C154" s="320" t="s">
        <v>295</v>
      </c>
      <c r="D154" s="295" t="s">
        <v>100</v>
      </c>
      <c r="E154" s="295" t="s">
        <v>67</v>
      </c>
      <c r="F154" s="297" t="s">
        <v>304</v>
      </c>
      <c r="G154" s="321">
        <v>4368000</v>
      </c>
      <c r="H154" s="322" t="s">
        <v>155</v>
      </c>
      <c r="I154" s="323" t="str">
        <f>IFERROR(VLOOKUP(H154,[13]Listas!$B$126:$C$144,2,FALSE),"")</f>
        <v>Recursos del Balance - Propios</v>
      </c>
      <c r="J154" s="256">
        <v>25</v>
      </c>
      <c r="K154" s="318" t="s">
        <v>47</v>
      </c>
      <c r="L154" s="324"/>
      <c r="M154" s="325" t="str">
        <f t="shared" si="20"/>
        <v>INV-42103-25</v>
      </c>
      <c r="N154" s="206">
        <v>80111600</v>
      </c>
      <c r="O154" s="315" t="s">
        <v>385</v>
      </c>
      <c r="P154" s="326" t="s">
        <v>55</v>
      </c>
      <c r="Q154" s="326" t="s">
        <v>55</v>
      </c>
      <c r="R154" s="318">
        <v>1</v>
      </c>
      <c r="S154" s="299" t="s">
        <v>45</v>
      </c>
      <c r="T154" s="198" t="s">
        <v>48</v>
      </c>
      <c r="U154" s="327">
        <f t="shared" si="19"/>
        <v>4368000</v>
      </c>
      <c r="V154" s="327">
        <f t="shared" si="21"/>
        <v>4368000</v>
      </c>
      <c r="W154" s="299" t="s">
        <v>43</v>
      </c>
      <c r="X154" s="199" t="s">
        <v>46</v>
      </c>
      <c r="Y154" s="200" t="s">
        <v>380</v>
      </c>
      <c r="Z154" s="201" t="s">
        <v>49</v>
      </c>
      <c r="AA154" s="204" t="s">
        <v>379</v>
      </c>
      <c r="AB154" s="201" t="s">
        <v>101</v>
      </c>
      <c r="AC154" s="202" t="s">
        <v>50</v>
      </c>
      <c r="AD154" s="199" t="s">
        <v>43</v>
      </c>
      <c r="AE154" s="199" t="s">
        <v>47</v>
      </c>
      <c r="AF154" s="203" t="s">
        <v>72</v>
      </c>
      <c r="AG154" s="300" t="s">
        <v>73</v>
      </c>
      <c r="AH154" s="203" t="s">
        <v>74</v>
      </c>
      <c r="AI154" s="203" t="s">
        <v>298</v>
      </c>
      <c r="AJ154" s="203" t="s">
        <v>75</v>
      </c>
      <c r="AK154" s="203" t="s">
        <v>76</v>
      </c>
    </row>
    <row r="155" spans="1:37" s="328" customFormat="1" ht="45" hidden="1">
      <c r="A155" s="318">
        <v>42103</v>
      </c>
      <c r="B155" s="347" t="str">
        <f>IFERROR(VLOOKUP(A155,[13]Listas!$A$91:$B$107,2,FALSE),"")</f>
        <v>MEJORAMIENTO DE LA PRODUCCIÓN, CIRCULACIÓN Y APROPIACIÓN SOCIAL DEL CONOCIMIENTO</v>
      </c>
      <c r="C155" s="320" t="s">
        <v>295</v>
      </c>
      <c r="D155" s="295" t="s">
        <v>100</v>
      </c>
      <c r="E155" s="295" t="s">
        <v>67</v>
      </c>
      <c r="F155" s="297" t="s">
        <v>304</v>
      </c>
      <c r="G155" s="321">
        <v>4152000</v>
      </c>
      <c r="H155" s="322" t="s">
        <v>155</v>
      </c>
      <c r="I155" s="323" t="str">
        <f>IFERROR(VLOOKUP(H155,[13]Listas!$B$126:$C$144,2,FALSE),"")</f>
        <v>Recursos del Balance - Propios</v>
      </c>
      <c r="J155" s="256">
        <v>26</v>
      </c>
      <c r="K155" s="318" t="s">
        <v>47</v>
      </c>
      <c r="L155" s="324"/>
      <c r="M155" s="325" t="str">
        <f t="shared" si="20"/>
        <v>INV-42103-26</v>
      </c>
      <c r="N155" s="206">
        <v>80111600</v>
      </c>
      <c r="O155" s="315" t="s">
        <v>385</v>
      </c>
      <c r="P155" s="326" t="s">
        <v>55</v>
      </c>
      <c r="Q155" s="326" t="s">
        <v>55</v>
      </c>
      <c r="R155" s="318">
        <v>1</v>
      </c>
      <c r="S155" s="299" t="s">
        <v>45</v>
      </c>
      <c r="T155" s="198" t="s">
        <v>48</v>
      </c>
      <c r="U155" s="327">
        <f t="shared" si="19"/>
        <v>4152000</v>
      </c>
      <c r="V155" s="327">
        <f t="shared" si="21"/>
        <v>4152000</v>
      </c>
      <c r="W155" s="299" t="s">
        <v>43</v>
      </c>
      <c r="X155" s="199" t="s">
        <v>46</v>
      </c>
      <c r="Y155" s="200" t="s">
        <v>380</v>
      </c>
      <c r="Z155" s="201" t="s">
        <v>49</v>
      </c>
      <c r="AA155" s="204" t="s">
        <v>379</v>
      </c>
      <c r="AB155" s="201" t="s">
        <v>101</v>
      </c>
      <c r="AC155" s="202" t="s">
        <v>50</v>
      </c>
      <c r="AD155" s="199" t="s">
        <v>43</v>
      </c>
      <c r="AE155" s="199" t="s">
        <v>47</v>
      </c>
      <c r="AF155" s="203" t="s">
        <v>72</v>
      </c>
      <c r="AG155" s="300" t="s">
        <v>73</v>
      </c>
      <c r="AH155" s="203" t="s">
        <v>74</v>
      </c>
      <c r="AI155" s="203" t="s">
        <v>298</v>
      </c>
      <c r="AJ155" s="203" t="s">
        <v>75</v>
      </c>
      <c r="AK155" s="203" t="s">
        <v>76</v>
      </c>
    </row>
    <row r="156" spans="1:37" s="328" customFormat="1" ht="45" hidden="1">
      <c r="A156" s="318">
        <v>42103</v>
      </c>
      <c r="B156" s="347" t="str">
        <f>IFERROR(VLOOKUP(A156,[13]Listas!$A$91:$B$107,2,FALSE),"")</f>
        <v>MEJORAMIENTO DE LA PRODUCCIÓN, CIRCULACIÓN Y APROPIACIÓN SOCIAL DEL CONOCIMIENTO</v>
      </c>
      <c r="C156" s="320" t="s">
        <v>295</v>
      </c>
      <c r="D156" s="295" t="s">
        <v>100</v>
      </c>
      <c r="E156" s="295" t="s">
        <v>67</v>
      </c>
      <c r="F156" s="297" t="s">
        <v>304</v>
      </c>
      <c r="G156" s="321">
        <v>4040000</v>
      </c>
      <c r="H156" s="322" t="s">
        <v>155</v>
      </c>
      <c r="I156" s="323" t="str">
        <f>IFERROR(VLOOKUP(H156,[13]Listas!$B$126:$C$144,2,FALSE),"")</f>
        <v>Recursos del Balance - Propios</v>
      </c>
      <c r="J156" s="256">
        <v>27</v>
      </c>
      <c r="K156" s="318" t="s">
        <v>47</v>
      </c>
      <c r="L156" s="324"/>
      <c r="M156" s="325" t="str">
        <f t="shared" si="20"/>
        <v>INV-42103-27</v>
      </c>
      <c r="N156" s="206">
        <v>80111600</v>
      </c>
      <c r="O156" s="315" t="s">
        <v>385</v>
      </c>
      <c r="P156" s="326" t="s">
        <v>55</v>
      </c>
      <c r="Q156" s="326" t="s">
        <v>55</v>
      </c>
      <c r="R156" s="318">
        <v>1</v>
      </c>
      <c r="S156" s="299" t="s">
        <v>45</v>
      </c>
      <c r="T156" s="198" t="s">
        <v>48</v>
      </c>
      <c r="U156" s="327">
        <f t="shared" si="19"/>
        <v>4040000</v>
      </c>
      <c r="V156" s="327">
        <f t="shared" si="21"/>
        <v>4040000</v>
      </c>
      <c r="W156" s="299" t="s">
        <v>43</v>
      </c>
      <c r="X156" s="199" t="s">
        <v>46</v>
      </c>
      <c r="Y156" s="200" t="s">
        <v>380</v>
      </c>
      <c r="Z156" s="201" t="s">
        <v>49</v>
      </c>
      <c r="AA156" s="204" t="s">
        <v>379</v>
      </c>
      <c r="AB156" s="201" t="s">
        <v>101</v>
      </c>
      <c r="AC156" s="202" t="s">
        <v>50</v>
      </c>
      <c r="AD156" s="199" t="s">
        <v>43</v>
      </c>
      <c r="AE156" s="199" t="s">
        <v>47</v>
      </c>
      <c r="AF156" s="203" t="s">
        <v>72</v>
      </c>
      <c r="AG156" s="300" t="s">
        <v>73</v>
      </c>
      <c r="AH156" s="203" t="s">
        <v>74</v>
      </c>
      <c r="AI156" s="203" t="s">
        <v>298</v>
      </c>
      <c r="AJ156" s="203" t="s">
        <v>75</v>
      </c>
      <c r="AK156" s="203" t="s">
        <v>76</v>
      </c>
    </row>
    <row r="157" spans="1:37" s="328" customFormat="1" ht="45" hidden="1">
      <c r="A157" s="318">
        <v>42103</v>
      </c>
      <c r="B157" s="347" t="str">
        <f>IFERROR(VLOOKUP(A157,[13]Listas!$A$91:$B$107,2,FALSE),"")</f>
        <v>MEJORAMIENTO DE LA PRODUCCIÓN, CIRCULACIÓN Y APROPIACIÓN SOCIAL DEL CONOCIMIENTO</v>
      </c>
      <c r="C157" s="320" t="s">
        <v>295</v>
      </c>
      <c r="D157" s="295" t="s">
        <v>100</v>
      </c>
      <c r="E157" s="295" t="s">
        <v>67</v>
      </c>
      <c r="F157" s="297" t="s">
        <v>304</v>
      </c>
      <c r="G157" s="321">
        <v>6488000</v>
      </c>
      <c r="H157" s="322" t="s">
        <v>155</v>
      </c>
      <c r="I157" s="323" t="str">
        <f>IFERROR(VLOOKUP(H157,[13]Listas!$B$126:$C$144,2,FALSE),"")</f>
        <v>Recursos del Balance - Propios</v>
      </c>
      <c r="J157" s="256">
        <v>28</v>
      </c>
      <c r="K157" s="318" t="s">
        <v>47</v>
      </c>
      <c r="L157" s="324"/>
      <c r="M157" s="325" t="str">
        <f t="shared" si="20"/>
        <v>INV-42103-28</v>
      </c>
      <c r="N157" s="206">
        <v>80111600</v>
      </c>
      <c r="O157" s="315" t="s">
        <v>385</v>
      </c>
      <c r="P157" s="326" t="s">
        <v>55</v>
      </c>
      <c r="Q157" s="326" t="s">
        <v>55</v>
      </c>
      <c r="R157" s="318">
        <v>2</v>
      </c>
      <c r="S157" s="299" t="s">
        <v>45</v>
      </c>
      <c r="T157" s="198" t="s">
        <v>48</v>
      </c>
      <c r="U157" s="327">
        <f t="shared" si="19"/>
        <v>6488000</v>
      </c>
      <c r="V157" s="327">
        <f t="shared" si="21"/>
        <v>6488000</v>
      </c>
      <c r="W157" s="299" t="s">
        <v>43</v>
      </c>
      <c r="X157" s="199" t="s">
        <v>46</v>
      </c>
      <c r="Y157" s="200" t="s">
        <v>380</v>
      </c>
      <c r="Z157" s="201" t="s">
        <v>49</v>
      </c>
      <c r="AA157" s="204" t="s">
        <v>379</v>
      </c>
      <c r="AB157" s="201" t="s">
        <v>101</v>
      </c>
      <c r="AC157" s="202" t="s">
        <v>50</v>
      </c>
      <c r="AD157" s="199" t="s">
        <v>43</v>
      </c>
      <c r="AE157" s="199" t="s">
        <v>47</v>
      </c>
      <c r="AF157" s="203" t="s">
        <v>72</v>
      </c>
      <c r="AG157" s="300" t="s">
        <v>73</v>
      </c>
      <c r="AH157" s="203" t="s">
        <v>74</v>
      </c>
      <c r="AI157" s="203" t="s">
        <v>298</v>
      </c>
      <c r="AJ157" s="203" t="s">
        <v>75</v>
      </c>
      <c r="AK157" s="203" t="s">
        <v>76</v>
      </c>
    </row>
    <row r="158" spans="1:37" s="328" customFormat="1" ht="45" hidden="1">
      <c r="A158" s="318">
        <v>42103</v>
      </c>
      <c r="B158" s="347" t="str">
        <f>IFERROR(VLOOKUP(A158,[13]Listas!$A$91:$B$107,2,FALSE),"")</f>
        <v>MEJORAMIENTO DE LA PRODUCCIÓN, CIRCULACIÓN Y APROPIACIÓN SOCIAL DEL CONOCIMIENTO</v>
      </c>
      <c r="C158" s="320" t="s">
        <v>295</v>
      </c>
      <c r="D158" s="295" t="s">
        <v>100</v>
      </c>
      <c r="E158" s="295" t="s">
        <v>67</v>
      </c>
      <c r="F158" s="297" t="s">
        <v>304</v>
      </c>
      <c r="G158" s="321">
        <v>2640000</v>
      </c>
      <c r="H158" s="322" t="s">
        <v>155</v>
      </c>
      <c r="I158" s="323" t="str">
        <f>IFERROR(VLOOKUP(H158,[13]Listas!$B$126:$C$144,2,FALSE),"")</f>
        <v>Recursos del Balance - Propios</v>
      </c>
      <c r="J158" s="256">
        <v>29</v>
      </c>
      <c r="K158" s="318" t="s">
        <v>47</v>
      </c>
      <c r="L158" s="324"/>
      <c r="M158" s="325" t="str">
        <f t="shared" si="20"/>
        <v>INV-42103-29</v>
      </c>
      <c r="N158" s="206">
        <v>80111600</v>
      </c>
      <c r="O158" s="315" t="s">
        <v>385</v>
      </c>
      <c r="P158" s="326" t="s">
        <v>55</v>
      </c>
      <c r="Q158" s="326" t="s">
        <v>55</v>
      </c>
      <c r="R158" s="318">
        <v>1</v>
      </c>
      <c r="S158" s="299" t="s">
        <v>45</v>
      </c>
      <c r="T158" s="198" t="s">
        <v>48</v>
      </c>
      <c r="U158" s="327">
        <f t="shared" si="19"/>
        <v>2640000</v>
      </c>
      <c r="V158" s="327">
        <f t="shared" si="21"/>
        <v>2640000</v>
      </c>
      <c r="W158" s="299" t="s">
        <v>43</v>
      </c>
      <c r="X158" s="199" t="s">
        <v>46</v>
      </c>
      <c r="Y158" s="200" t="s">
        <v>380</v>
      </c>
      <c r="Z158" s="201" t="s">
        <v>49</v>
      </c>
      <c r="AA158" s="204" t="s">
        <v>379</v>
      </c>
      <c r="AB158" s="201" t="s">
        <v>101</v>
      </c>
      <c r="AC158" s="202" t="s">
        <v>50</v>
      </c>
      <c r="AD158" s="199" t="s">
        <v>43</v>
      </c>
      <c r="AE158" s="199" t="s">
        <v>47</v>
      </c>
      <c r="AF158" s="203" t="s">
        <v>72</v>
      </c>
      <c r="AG158" s="300" t="s">
        <v>73</v>
      </c>
      <c r="AH158" s="203" t="s">
        <v>74</v>
      </c>
      <c r="AI158" s="203" t="s">
        <v>298</v>
      </c>
      <c r="AJ158" s="203" t="s">
        <v>75</v>
      </c>
      <c r="AK158" s="203" t="s">
        <v>76</v>
      </c>
    </row>
    <row r="159" spans="1:37" s="137" customFormat="1" ht="45" hidden="1">
      <c r="A159" s="256">
        <v>42103</v>
      </c>
      <c r="B159" s="304" t="str">
        <f>IFERROR(VLOOKUP(A159,[12]Listas!$A$91:$B$107,2,FALSE),"")</f>
        <v>MEJORAMIENTO DE LA PRODUCCIÓN, CIRCULACIÓN Y APROPIACIÓN SOCIAL DEL CONOCIMIENTO</v>
      </c>
      <c r="C159" s="294" t="s">
        <v>295</v>
      </c>
      <c r="D159" s="295" t="s">
        <v>100</v>
      </c>
      <c r="E159" s="295" t="s">
        <v>67</v>
      </c>
      <c r="F159" s="297" t="s">
        <v>304</v>
      </c>
      <c r="G159" s="302">
        <v>1000000</v>
      </c>
      <c r="H159" s="303" t="s">
        <v>300</v>
      </c>
      <c r="I159" s="310" t="str">
        <f>IFERROR(VLOOKUP(H159,[12]Listas!$B$126:$C$144,2,FALSE),"")</f>
        <v>Recursos Propios</v>
      </c>
      <c r="J159" s="256">
        <v>30</v>
      </c>
      <c r="K159" s="256" t="s">
        <v>43</v>
      </c>
      <c r="L159" s="324"/>
      <c r="M159" s="270" t="str">
        <f t="shared" si="20"/>
        <v>INV-42103-30</v>
      </c>
      <c r="N159" s="306" t="s">
        <v>113</v>
      </c>
      <c r="O159" s="154" t="s">
        <v>386</v>
      </c>
      <c r="P159" s="244" t="s">
        <v>55</v>
      </c>
      <c r="Q159" s="244" t="s">
        <v>55</v>
      </c>
      <c r="R159" s="256">
        <v>4</v>
      </c>
      <c r="S159" s="299" t="s">
        <v>45</v>
      </c>
      <c r="T159" s="198" t="s">
        <v>48</v>
      </c>
      <c r="U159" s="272">
        <f t="shared" si="19"/>
        <v>1000000</v>
      </c>
      <c r="V159" s="272">
        <f t="shared" si="21"/>
        <v>1000000</v>
      </c>
      <c r="W159" s="299" t="s">
        <v>43</v>
      </c>
      <c r="X159" s="199" t="s">
        <v>46</v>
      </c>
      <c r="Y159" s="200" t="s">
        <v>380</v>
      </c>
      <c r="Z159" s="201" t="s">
        <v>49</v>
      </c>
      <c r="AA159" s="204" t="s">
        <v>379</v>
      </c>
      <c r="AB159" s="201" t="s">
        <v>101</v>
      </c>
      <c r="AC159" s="202" t="s">
        <v>50</v>
      </c>
      <c r="AD159" s="199" t="s">
        <v>43</v>
      </c>
      <c r="AE159" s="199" t="s">
        <v>47</v>
      </c>
      <c r="AF159" s="203" t="s">
        <v>72</v>
      </c>
      <c r="AG159" s="300" t="s">
        <v>73</v>
      </c>
      <c r="AH159" s="203" t="s">
        <v>74</v>
      </c>
      <c r="AI159" s="203" t="s">
        <v>298</v>
      </c>
      <c r="AJ159" s="203" t="s">
        <v>75</v>
      </c>
      <c r="AK159" s="203" t="s">
        <v>76</v>
      </c>
    </row>
    <row r="160" spans="1:37" s="328" customFormat="1" ht="61.5" hidden="1" customHeight="1">
      <c r="A160" s="318">
        <v>42103</v>
      </c>
      <c r="B160" s="347" t="str">
        <f>IFERROR(VLOOKUP(A160,[13]Listas!$A$91:$B$107,2,FALSE),"")</f>
        <v>MEJORAMIENTO DE LA PRODUCCIÓN, CIRCULACIÓN Y APROPIACIÓN SOCIAL DEL CONOCIMIENTO</v>
      </c>
      <c r="C160" s="320" t="s">
        <v>295</v>
      </c>
      <c r="D160" s="295" t="s">
        <v>100</v>
      </c>
      <c r="E160" s="295" t="s">
        <v>67</v>
      </c>
      <c r="F160" s="297" t="s">
        <v>304</v>
      </c>
      <c r="G160" s="302">
        <v>3000000</v>
      </c>
      <c r="H160" s="322" t="s">
        <v>300</v>
      </c>
      <c r="I160" s="323" t="str">
        <f>IFERROR(VLOOKUP(H160,[13]Listas!$B$126:$C$144,2,FALSE),"")</f>
        <v>Recursos Propios</v>
      </c>
      <c r="J160" s="256">
        <v>31</v>
      </c>
      <c r="K160" s="318" t="s">
        <v>47</v>
      </c>
      <c r="L160" s="324"/>
      <c r="M160" s="325" t="str">
        <f t="shared" si="20"/>
        <v>INV-42103-31</v>
      </c>
      <c r="N160" s="205">
        <v>80111600</v>
      </c>
      <c r="O160" s="164" t="s">
        <v>387</v>
      </c>
      <c r="P160" s="326" t="s">
        <v>55</v>
      </c>
      <c r="Q160" s="326" t="s">
        <v>55</v>
      </c>
      <c r="R160" s="318">
        <v>1</v>
      </c>
      <c r="S160" s="299" t="s">
        <v>45</v>
      </c>
      <c r="T160" s="198" t="s">
        <v>48</v>
      </c>
      <c r="U160" s="327">
        <f t="shared" si="19"/>
        <v>3000000</v>
      </c>
      <c r="V160" s="327">
        <f t="shared" si="21"/>
        <v>3000000</v>
      </c>
      <c r="W160" s="299" t="s">
        <v>43</v>
      </c>
      <c r="X160" s="199" t="s">
        <v>46</v>
      </c>
      <c r="Y160" s="200" t="s">
        <v>380</v>
      </c>
      <c r="Z160" s="201" t="s">
        <v>49</v>
      </c>
      <c r="AA160" s="204" t="s">
        <v>379</v>
      </c>
      <c r="AB160" s="201" t="s">
        <v>101</v>
      </c>
      <c r="AC160" s="202" t="s">
        <v>50</v>
      </c>
      <c r="AD160" s="199" t="s">
        <v>43</v>
      </c>
      <c r="AE160" s="199" t="s">
        <v>47</v>
      </c>
      <c r="AF160" s="203" t="s">
        <v>72</v>
      </c>
      <c r="AG160" s="300" t="s">
        <v>73</v>
      </c>
      <c r="AH160" s="203" t="s">
        <v>74</v>
      </c>
      <c r="AI160" s="203" t="s">
        <v>298</v>
      </c>
      <c r="AJ160" s="203" t="s">
        <v>75</v>
      </c>
      <c r="AK160" s="203" t="s">
        <v>76</v>
      </c>
    </row>
    <row r="161" spans="1:40" s="137" customFormat="1" ht="51" hidden="1" customHeight="1">
      <c r="A161" s="346" t="s">
        <v>451</v>
      </c>
      <c r="B161" s="348" t="str">
        <f>IFERROR(VLOOKUP(A161,[14]Listas!A$134:C$144,2,FALSE),"")</f>
        <v>MEJORAMIENTO DE LA PRODUCCIÓN, CIRCULACIÓN Y APROPIACIÓN SOCIAL DEL CONOCIMIENTO</v>
      </c>
      <c r="C161" s="329" t="s">
        <v>452</v>
      </c>
      <c r="D161" s="330" t="s">
        <v>100</v>
      </c>
      <c r="E161" s="330" t="s">
        <v>67</v>
      </c>
      <c r="F161" s="331" t="s">
        <v>304</v>
      </c>
      <c r="G161" s="332">
        <v>40000000</v>
      </c>
      <c r="H161" s="322" t="s">
        <v>155</v>
      </c>
      <c r="I161" s="323" t="str">
        <f>IFERROR(VLOOKUP(H161,[13]Listas!$B$126:$C$144,2,FALSE),"")</f>
        <v>Recursos del Balance - Propios</v>
      </c>
      <c r="J161" s="333" t="s">
        <v>289</v>
      </c>
      <c r="K161" s="334" t="s">
        <v>47</v>
      </c>
      <c r="L161" s="305"/>
      <c r="M161" s="325" t="str">
        <f t="shared" si="20"/>
        <v>INV-42103-32</v>
      </c>
      <c r="N161" s="335">
        <v>81112200</v>
      </c>
      <c r="O161" s="336" t="s">
        <v>453</v>
      </c>
      <c r="P161" s="337" t="s">
        <v>55</v>
      </c>
      <c r="Q161" s="337" t="s">
        <v>55</v>
      </c>
      <c r="R161" s="338">
        <v>6</v>
      </c>
      <c r="S161" s="299" t="s">
        <v>45</v>
      </c>
      <c r="T161" s="339" t="s">
        <v>48</v>
      </c>
      <c r="U161" s="298">
        <f>G161</f>
        <v>40000000</v>
      </c>
      <c r="V161" s="298">
        <f t="shared" ref="V161" si="22">U161</f>
        <v>40000000</v>
      </c>
      <c r="W161" s="299" t="s">
        <v>43</v>
      </c>
      <c r="X161" s="299" t="s">
        <v>46</v>
      </c>
      <c r="Y161" s="340" t="s">
        <v>454</v>
      </c>
      <c r="Z161" s="341" t="s">
        <v>49</v>
      </c>
      <c r="AA161" s="342" t="s">
        <v>455</v>
      </c>
      <c r="AB161" s="341" t="s">
        <v>101</v>
      </c>
      <c r="AC161" s="343" t="s">
        <v>50</v>
      </c>
      <c r="AD161" s="299" t="s">
        <v>43</v>
      </c>
      <c r="AE161" s="299" t="s">
        <v>47</v>
      </c>
      <c r="AF161" s="300" t="s">
        <v>72</v>
      </c>
      <c r="AG161" s="300" t="s">
        <v>73</v>
      </c>
      <c r="AH161" s="300" t="s">
        <v>74</v>
      </c>
      <c r="AI161" s="300" t="s">
        <v>298</v>
      </c>
      <c r="AJ161" s="300" t="s">
        <v>75</v>
      </c>
      <c r="AK161" s="300" t="s">
        <v>76</v>
      </c>
    </row>
    <row r="162" spans="1:40" s="137" customFormat="1" ht="51" hidden="1" customHeight="1">
      <c r="A162" s="256">
        <v>42103</v>
      </c>
      <c r="B162" s="294" t="str">
        <f>IFERROR(VLOOKUP(A162,[15]Listas!$A$91:$B$107,2,FALSE),"")</f>
        <v>MEJORAMIENTO DE LA PRODUCCIÓN, CIRCULACIÓN Y APROPIACIÓN SOCIAL DEL CONOCIMIENTO</v>
      </c>
      <c r="C162" s="344" t="s">
        <v>295</v>
      </c>
      <c r="D162" s="295" t="s">
        <v>100</v>
      </c>
      <c r="E162" s="296" t="s">
        <v>67</v>
      </c>
      <c r="F162" s="297" t="s">
        <v>304</v>
      </c>
      <c r="G162" s="332">
        <v>20000000</v>
      </c>
      <c r="H162" s="322" t="s">
        <v>155</v>
      </c>
      <c r="I162" s="323" t="str">
        <f>IFERROR(VLOOKUP(H162,[13]Listas!$B$126:$C$144,2,FALSE),"")</f>
        <v>Recursos del Balance - Propios</v>
      </c>
      <c r="J162" s="333" t="s">
        <v>291</v>
      </c>
      <c r="K162" s="334" t="s">
        <v>47</v>
      </c>
      <c r="L162" s="305"/>
      <c r="M162" s="325" t="str">
        <f t="shared" si="20"/>
        <v>INV-42103-33</v>
      </c>
      <c r="N162" s="335">
        <v>80111600</v>
      </c>
      <c r="O162" s="307" t="s">
        <v>456</v>
      </c>
      <c r="P162" s="337" t="s">
        <v>55</v>
      </c>
      <c r="Q162" s="337" t="s">
        <v>55</v>
      </c>
      <c r="R162" s="338">
        <v>6</v>
      </c>
      <c r="S162" s="299" t="s">
        <v>45</v>
      </c>
      <c r="T162" s="339" t="s">
        <v>48</v>
      </c>
      <c r="U162" s="298">
        <f t="shared" ref="U162:U174" si="23">+G162</f>
        <v>20000000</v>
      </c>
      <c r="V162" s="298">
        <f t="shared" ref="V162:V174" si="24">+U162</f>
        <v>20000000</v>
      </c>
      <c r="W162" s="299" t="s">
        <v>43</v>
      </c>
      <c r="X162" s="299" t="s">
        <v>46</v>
      </c>
      <c r="Y162" s="340" t="s">
        <v>454</v>
      </c>
      <c r="Z162" s="341" t="s">
        <v>49</v>
      </c>
      <c r="AA162" s="342" t="s">
        <v>455</v>
      </c>
      <c r="AB162" s="341" t="s">
        <v>101</v>
      </c>
      <c r="AC162" s="343" t="s">
        <v>50</v>
      </c>
      <c r="AD162" s="299" t="s">
        <v>43</v>
      </c>
      <c r="AE162" s="299" t="s">
        <v>47</v>
      </c>
      <c r="AF162" s="300" t="s">
        <v>72</v>
      </c>
      <c r="AG162" s="300" t="s">
        <v>73</v>
      </c>
      <c r="AH162" s="300" t="s">
        <v>74</v>
      </c>
      <c r="AI162" s="300" t="s">
        <v>298</v>
      </c>
      <c r="AJ162" s="300" t="s">
        <v>75</v>
      </c>
      <c r="AK162" s="300" t="s">
        <v>76</v>
      </c>
    </row>
    <row r="163" spans="1:40" s="328" customFormat="1" ht="98.25" hidden="1" customHeight="1">
      <c r="A163" s="256">
        <v>42103</v>
      </c>
      <c r="B163" s="304" t="str">
        <f>IFERROR(VLOOKUP(A163,[12]Listas!$A$91:$B$107,2,FALSE),"")</f>
        <v>MEJORAMIENTO DE LA PRODUCCIÓN, CIRCULACIÓN Y APROPIACIÓN SOCIAL DEL CONOCIMIENTO</v>
      </c>
      <c r="C163" s="294" t="s">
        <v>295</v>
      </c>
      <c r="D163" s="295" t="s">
        <v>100</v>
      </c>
      <c r="E163" s="295" t="s">
        <v>67</v>
      </c>
      <c r="F163" s="297" t="s">
        <v>450</v>
      </c>
      <c r="G163" s="332">
        <v>5500000</v>
      </c>
      <c r="H163" s="322" t="s">
        <v>155</v>
      </c>
      <c r="I163" s="323" t="str">
        <f>IFERROR(VLOOKUP(H163,[13]Listas!$B$126:$C$144,2,FALSE),"")</f>
        <v>Recursos del Balance - Propios</v>
      </c>
      <c r="J163" s="333" t="s">
        <v>293</v>
      </c>
      <c r="K163" s="334" t="s">
        <v>43</v>
      </c>
      <c r="L163" s="305"/>
      <c r="M163" s="325" t="str">
        <f t="shared" si="20"/>
        <v>INV-42103-34</v>
      </c>
      <c r="N163" s="335" t="s">
        <v>113</v>
      </c>
      <c r="O163" s="154" t="s">
        <v>457</v>
      </c>
      <c r="P163" s="337" t="s">
        <v>55</v>
      </c>
      <c r="Q163" s="337" t="s">
        <v>55</v>
      </c>
      <c r="R163" s="338">
        <v>2</v>
      </c>
      <c r="S163" s="299" t="s">
        <v>45</v>
      </c>
      <c r="T163" s="339" t="s">
        <v>48</v>
      </c>
      <c r="U163" s="298">
        <f t="shared" si="23"/>
        <v>5500000</v>
      </c>
      <c r="V163" s="298">
        <f t="shared" si="24"/>
        <v>5500000</v>
      </c>
      <c r="W163" s="299" t="s">
        <v>43</v>
      </c>
      <c r="X163" s="299" t="s">
        <v>46</v>
      </c>
      <c r="Y163" s="340" t="s">
        <v>454</v>
      </c>
      <c r="Z163" s="341" t="s">
        <v>49</v>
      </c>
      <c r="AA163" s="342" t="s">
        <v>455</v>
      </c>
      <c r="AB163" s="341" t="s">
        <v>101</v>
      </c>
      <c r="AC163" s="343" t="s">
        <v>50</v>
      </c>
      <c r="AD163" s="299" t="s">
        <v>43</v>
      </c>
      <c r="AE163" s="299" t="s">
        <v>47</v>
      </c>
      <c r="AF163" s="300" t="s">
        <v>72</v>
      </c>
      <c r="AG163" s="300" t="s">
        <v>73</v>
      </c>
      <c r="AH163" s="300" t="s">
        <v>74</v>
      </c>
      <c r="AI163" s="300" t="s">
        <v>298</v>
      </c>
      <c r="AJ163" s="300" t="s">
        <v>75</v>
      </c>
      <c r="AK163" s="300" t="s">
        <v>76</v>
      </c>
      <c r="AL163" s="137"/>
      <c r="AM163" s="137"/>
      <c r="AN163" s="137"/>
    </row>
    <row r="164" spans="1:40" s="328" customFormat="1" ht="98.25" hidden="1" customHeight="1">
      <c r="A164" s="256">
        <v>42103</v>
      </c>
      <c r="B164" s="294" t="str">
        <f>IFERROR(VLOOKUP(A164,[15]Listas!$A$91:$B$107,2,FALSE),"")</f>
        <v>MEJORAMIENTO DE LA PRODUCCIÓN, CIRCULACIÓN Y APROPIACIÓN SOCIAL DEL CONOCIMIENTO</v>
      </c>
      <c r="C164" s="344" t="s">
        <v>295</v>
      </c>
      <c r="D164" s="295" t="s">
        <v>100</v>
      </c>
      <c r="E164" s="296" t="s">
        <v>67</v>
      </c>
      <c r="F164" s="297" t="s">
        <v>304</v>
      </c>
      <c r="G164" s="332">
        <v>4500000</v>
      </c>
      <c r="H164" s="322" t="s">
        <v>155</v>
      </c>
      <c r="I164" s="323" t="str">
        <f>IFERROR(VLOOKUP(H164,[13]Listas!$B$126:$C$144,2,FALSE),"")</f>
        <v>Recursos del Balance - Propios</v>
      </c>
      <c r="J164" s="333" t="s">
        <v>458</v>
      </c>
      <c r="K164" s="334" t="s">
        <v>47</v>
      </c>
      <c r="L164" s="305"/>
      <c r="M164" s="325" t="str">
        <f t="shared" si="20"/>
        <v>INV-42103-35</v>
      </c>
      <c r="N164" s="205">
        <v>80111600</v>
      </c>
      <c r="O164" s="154" t="s">
        <v>459</v>
      </c>
      <c r="P164" s="337" t="s">
        <v>55</v>
      </c>
      <c r="Q164" s="337" t="s">
        <v>55</v>
      </c>
      <c r="R164" s="338">
        <v>2</v>
      </c>
      <c r="S164" s="299" t="s">
        <v>45</v>
      </c>
      <c r="T164" s="339" t="s">
        <v>48</v>
      </c>
      <c r="U164" s="298">
        <f t="shared" si="23"/>
        <v>4500000</v>
      </c>
      <c r="V164" s="298">
        <f t="shared" si="24"/>
        <v>4500000</v>
      </c>
      <c r="W164" s="299" t="s">
        <v>43</v>
      </c>
      <c r="X164" s="299" t="s">
        <v>46</v>
      </c>
      <c r="Y164" s="340" t="s">
        <v>454</v>
      </c>
      <c r="Z164" s="341" t="s">
        <v>49</v>
      </c>
      <c r="AA164" s="342" t="s">
        <v>455</v>
      </c>
      <c r="AB164" s="341" t="s">
        <v>101</v>
      </c>
      <c r="AC164" s="343" t="s">
        <v>50</v>
      </c>
      <c r="AD164" s="299" t="s">
        <v>43</v>
      </c>
      <c r="AE164" s="299" t="s">
        <v>47</v>
      </c>
      <c r="AF164" s="300" t="s">
        <v>72</v>
      </c>
      <c r="AG164" s="300" t="s">
        <v>73</v>
      </c>
      <c r="AH164" s="300" t="s">
        <v>74</v>
      </c>
      <c r="AI164" s="300" t="s">
        <v>298</v>
      </c>
      <c r="AJ164" s="300" t="s">
        <v>75</v>
      </c>
      <c r="AK164" s="300" t="s">
        <v>76</v>
      </c>
      <c r="AL164" s="137"/>
      <c r="AM164" s="137"/>
      <c r="AN164" s="137"/>
    </row>
    <row r="165" spans="1:40" s="328" customFormat="1" ht="98.25" hidden="1" customHeight="1">
      <c r="A165" s="256">
        <v>42103</v>
      </c>
      <c r="B165" s="294" t="str">
        <f>IFERROR(VLOOKUP(A165,[15]Listas!$A$91:$B$107,2,FALSE),"")</f>
        <v>MEJORAMIENTO DE LA PRODUCCIÓN, CIRCULACIÓN Y APROPIACIÓN SOCIAL DEL CONOCIMIENTO</v>
      </c>
      <c r="C165" s="344" t="s">
        <v>295</v>
      </c>
      <c r="D165" s="295" t="s">
        <v>100</v>
      </c>
      <c r="E165" s="296" t="s">
        <v>67</v>
      </c>
      <c r="F165" s="297" t="s">
        <v>304</v>
      </c>
      <c r="G165" s="332">
        <v>5000000</v>
      </c>
      <c r="H165" s="322" t="s">
        <v>155</v>
      </c>
      <c r="I165" s="323" t="str">
        <f>IFERROR(VLOOKUP(H165,[13]Listas!$B$126:$C$144,2,FALSE),"")</f>
        <v>Recursos del Balance - Propios</v>
      </c>
      <c r="J165" s="333" t="s">
        <v>460</v>
      </c>
      <c r="K165" s="334" t="s">
        <v>47</v>
      </c>
      <c r="L165" s="305"/>
      <c r="M165" s="325" t="str">
        <f t="shared" si="20"/>
        <v>INV-42103-36</v>
      </c>
      <c r="N165" s="205">
        <v>80111600</v>
      </c>
      <c r="O165" s="154" t="s">
        <v>461</v>
      </c>
      <c r="P165" s="337" t="s">
        <v>55</v>
      </c>
      <c r="Q165" s="337" t="s">
        <v>55</v>
      </c>
      <c r="R165" s="338">
        <v>2</v>
      </c>
      <c r="S165" s="299" t="s">
        <v>45</v>
      </c>
      <c r="T165" s="339" t="s">
        <v>48</v>
      </c>
      <c r="U165" s="298">
        <f t="shared" si="23"/>
        <v>5000000</v>
      </c>
      <c r="V165" s="298">
        <f t="shared" si="24"/>
        <v>5000000</v>
      </c>
      <c r="W165" s="299" t="s">
        <v>43</v>
      </c>
      <c r="X165" s="299" t="s">
        <v>46</v>
      </c>
      <c r="Y165" s="340" t="s">
        <v>454</v>
      </c>
      <c r="Z165" s="341" t="s">
        <v>49</v>
      </c>
      <c r="AA165" s="342" t="s">
        <v>455</v>
      </c>
      <c r="AB165" s="341" t="s">
        <v>101</v>
      </c>
      <c r="AC165" s="343" t="s">
        <v>50</v>
      </c>
      <c r="AD165" s="299" t="s">
        <v>43</v>
      </c>
      <c r="AE165" s="299" t="s">
        <v>47</v>
      </c>
      <c r="AF165" s="300" t="s">
        <v>72</v>
      </c>
      <c r="AG165" s="300" t="s">
        <v>73</v>
      </c>
      <c r="AH165" s="300" t="s">
        <v>74</v>
      </c>
      <c r="AI165" s="300" t="s">
        <v>298</v>
      </c>
      <c r="AJ165" s="300" t="s">
        <v>75</v>
      </c>
      <c r="AK165" s="300" t="s">
        <v>76</v>
      </c>
      <c r="AL165" s="137"/>
      <c r="AM165" s="137"/>
      <c r="AN165" s="137"/>
    </row>
    <row r="166" spans="1:40" s="137" customFormat="1" ht="45" hidden="1">
      <c r="A166" s="256">
        <v>42103</v>
      </c>
      <c r="B166" s="304" t="str">
        <f>IFERROR(VLOOKUP(A166,[12]Listas!$A$91:$B$107,2,FALSE),"")</f>
        <v>MEJORAMIENTO DE LA PRODUCCIÓN, CIRCULACIÓN Y APROPIACIÓN SOCIAL DEL CONOCIMIENTO</v>
      </c>
      <c r="C166" s="294" t="s">
        <v>295</v>
      </c>
      <c r="D166" s="295" t="s">
        <v>100</v>
      </c>
      <c r="E166" s="295" t="s">
        <v>67</v>
      </c>
      <c r="F166" s="297" t="s">
        <v>296</v>
      </c>
      <c r="G166" s="302">
        <v>6000000</v>
      </c>
      <c r="H166" s="322" t="s">
        <v>155</v>
      </c>
      <c r="I166" s="323" t="str">
        <f>IFERROR(VLOOKUP(H166,[13]Listas!$B$126:$C$144,2,FALSE),"")</f>
        <v>Recursos del Balance - Propios</v>
      </c>
      <c r="J166" s="256">
        <v>37</v>
      </c>
      <c r="K166" s="256" t="s">
        <v>43</v>
      </c>
      <c r="L166" s="305"/>
      <c r="M166" s="325" t="str">
        <f t="shared" si="20"/>
        <v>INV-42103-37</v>
      </c>
      <c r="N166" s="306" t="s">
        <v>113</v>
      </c>
      <c r="O166" s="154" t="s">
        <v>302</v>
      </c>
      <c r="P166" s="244" t="s">
        <v>55</v>
      </c>
      <c r="Q166" s="244" t="s">
        <v>55</v>
      </c>
      <c r="R166" s="256">
        <v>2</v>
      </c>
      <c r="S166" s="299" t="s">
        <v>45</v>
      </c>
      <c r="T166" s="198" t="s">
        <v>48</v>
      </c>
      <c r="U166" s="272">
        <f t="shared" si="23"/>
        <v>6000000</v>
      </c>
      <c r="V166" s="272">
        <f t="shared" si="24"/>
        <v>6000000</v>
      </c>
      <c r="W166" s="299" t="s">
        <v>43</v>
      </c>
      <c r="X166" s="199" t="s">
        <v>46</v>
      </c>
      <c r="Y166" s="200" t="s">
        <v>380</v>
      </c>
      <c r="Z166" s="201" t="s">
        <v>49</v>
      </c>
      <c r="AA166" s="204" t="s">
        <v>379</v>
      </c>
      <c r="AB166" s="201" t="s">
        <v>101</v>
      </c>
      <c r="AC166" s="202" t="s">
        <v>50</v>
      </c>
      <c r="AD166" s="199" t="s">
        <v>43</v>
      </c>
      <c r="AE166" s="199" t="s">
        <v>47</v>
      </c>
      <c r="AF166" s="203" t="s">
        <v>72</v>
      </c>
      <c r="AG166" s="300" t="s">
        <v>73</v>
      </c>
      <c r="AH166" s="203" t="s">
        <v>74</v>
      </c>
      <c r="AI166" s="203" t="s">
        <v>298</v>
      </c>
      <c r="AJ166" s="203" t="s">
        <v>75</v>
      </c>
      <c r="AK166" s="203" t="s">
        <v>76</v>
      </c>
    </row>
    <row r="167" spans="1:40" s="328" customFormat="1" ht="98.25" hidden="1" customHeight="1">
      <c r="A167" s="256">
        <v>42103</v>
      </c>
      <c r="B167" s="294" t="str">
        <f>IFERROR(VLOOKUP(A167,[15]Listas!$A$91:$B$107,2,FALSE),"")</f>
        <v>MEJORAMIENTO DE LA PRODUCCIÓN, CIRCULACIÓN Y APROPIACIÓN SOCIAL DEL CONOCIMIENTO</v>
      </c>
      <c r="C167" s="344" t="s">
        <v>295</v>
      </c>
      <c r="D167" s="295" t="s">
        <v>100</v>
      </c>
      <c r="E167" s="296" t="s">
        <v>67</v>
      </c>
      <c r="F167" s="297" t="s">
        <v>304</v>
      </c>
      <c r="G167" s="332">
        <v>18000000</v>
      </c>
      <c r="H167" s="322" t="s">
        <v>155</v>
      </c>
      <c r="I167" s="323" t="str">
        <f>IFERROR(VLOOKUP(H167,[13]Listas!$B$126:$C$144,2,FALSE),"")</f>
        <v>Recursos del Balance - Propios</v>
      </c>
      <c r="J167" s="333" t="s">
        <v>462</v>
      </c>
      <c r="K167" s="334" t="s">
        <v>47</v>
      </c>
      <c r="L167" s="305"/>
      <c r="M167" s="325" t="str">
        <f t="shared" si="20"/>
        <v>INV-42103-38</v>
      </c>
      <c r="N167" s="205">
        <v>80111600</v>
      </c>
      <c r="O167" s="154" t="s">
        <v>463</v>
      </c>
      <c r="P167" s="337" t="s">
        <v>55</v>
      </c>
      <c r="Q167" s="337" t="s">
        <v>55</v>
      </c>
      <c r="R167" s="338">
        <v>6</v>
      </c>
      <c r="S167" s="299" t="s">
        <v>45</v>
      </c>
      <c r="T167" s="339" t="s">
        <v>48</v>
      </c>
      <c r="U167" s="298">
        <f t="shared" si="23"/>
        <v>18000000</v>
      </c>
      <c r="V167" s="298">
        <f t="shared" si="24"/>
        <v>18000000</v>
      </c>
      <c r="W167" s="299" t="s">
        <v>43</v>
      </c>
      <c r="X167" s="299" t="s">
        <v>46</v>
      </c>
      <c r="Y167" s="340" t="s">
        <v>454</v>
      </c>
      <c r="Z167" s="341" t="s">
        <v>49</v>
      </c>
      <c r="AA167" s="342" t="s">
        <v>455</v>
      </c>
      <c r="AB167" s="341" t="s">
        <v>101</v>
      </c>
      <c r="AC167" s="343" t="s">
        <v>50</v>
      </c>
      <c r="AD167" s="299" t="s">
        <v>43</v>
      </c>
      <c r="AE167" s="299" t="s">
        <v>47</v>
      </c>
      <c r="AF167" s="300" t="s">
        <v>72</v>
      </c>
      <c r="AG167" s="300" t="s">
        <v>73</v>
      </c>
      <c r="AH167" s="300" t="s">
        <v>74</v>
      </c>
      <c r="AI167" s="300" t="s">
        <v>298</v>
      </c>
      <c r="AJ167" s="300" t="s">
        <v>75</v>
      </c>
      <c r="AK167" s="300" t="s">
        <v>76</v>
      </c>
      <c r="AL167" s="137"/>
      <c r="AM167" s="137"/>
      <c r="AN167" s="137"/>
    </row>
    <row r="168" spans="1:40" s="328" customFormat="1" ht="98.25" hidden="1" customHeight="1">
      <c r="A168" s="256">
        <v>42103</v>
      </c>
      <c r="B168" s="294" t="str">
        <f>IFERROR(VLOOKUP(A168,[15]Listas!$A$91:$B$107,2,FALSE),"")</f>
        <v>MEJORAMIENTO DE LA PRODUCCIÓN, CIRCULACIÓN Y APROPIACIÓN SOCIAL DEL CONOCIMIENTO</v>
      </c>
      <c r="C168" s="344" t="s">
        <v>295</v>
      </c>
      <c r="D168" s="295" t="s">
        <v>100</v>
      </c>
      <c r="E168" s="296" t="s">
        <v>67</v>
      </c>
      <c r="F168" s="297" t="s">
        <v>304</v>
      </c>
      <c r="G168" s="332">
        <v>10281000</v>
      </c>
      <c r="H168" s="322" t="s">
        <v>155</v>
      </c>
      <c r="I168" s="323" t="str">
        <f>IFERROR(VLOOKUP(H168,[13]Listas!$B$126:$C$144,2,FALSE),"")</f>
        <v>Recursos del Balance - Propios</v>
      </c>
      <c r="J168" s="549" t="s">
        <v>511</v>
      </c>
      <c r="K168" s="551" t="s">
        <v>47</v>
      </c>
      <c r="L168" s="553"/>
      <c r="M168" s="555" t="str">
        <f t="shared" si="20"/>
        <v>INV-42103-39</v>
      </c>
      <c r="N168" s="557">
        <v>80111600</v>
      </c>
      <c r="O168" s="559" t="s">
        <v>512</v>
      </c>
      <c r="P168" s="561" t="s">
        <v>55</v>
      </c>
      <c r="Q168" s="561" t="s">
        <v>55</v>
      </c>
      <c r="R168" s="563">
        <v>6</v>
      </c>
      <c r="S168" s="545" t="s">
        <v>45</v>
      </c>
      <c r="T168" s="547" t="s">
        <v>48</v>
      </c>
      <c r="U168" s="298">
        <f t="shared" si="23"/>
        <v>10281000</v>
      </c>
      <c r="V168" s="298">
        <f t="shared" si="24"/>
        <v>10281000</v>
      </c>
      <c r="W168" s="299" t="s">
        <v>43</v>
      </c>
      <c r="X168" s="299" t="s">
        <v>46</v>
      </c>
      <c r="Y168" s="340" t="s">
        <v>454</v>
      </c>
      <c r="Z168" s="341" t="s">
        <v>49</v>
      </c>
      <c r="AA168" s="342" t="s">
        <v>455</v>
      </c>
      <c r="AB168" s="341" t="s">
        <v>101</v>
      </c>
      <c r="AC168" s="343" t="s">
        <v>50</v>
      </c>
      <c r="AD168" s="299" t="s">
        <v>43</v>
      </c>
      <c r="AE168" s="299" t="s">
        <v>47</v>
      </c>
      <c r="AF168" s="300" t="s">
        <v>72</v>
      </c>
      <c r="AG168" s="300" t="s">
        <v>73</v>
      </c>
      <c r="AH168" s="300" t="s">
        <v>74</v>
      </c>
      <c r="AI168" s="300" t="s">
        <v>298</v>
      </c>
      <c r="AJ168" s="300" t="s">
        <v>75</v>
      </c>
      <c r="AK168" s="300" t="s">
        <v>76</v>
      </c>
      <c r="AL168" s="137"/>
      <c r="AM168" s="137"/>
      <c r="AN168" s="137"/>
    </row>
    <row r="169" spans="1:40" s="328" customFormat="1" ht="98.25" hidden="1" customHeight="1">
      <c r="A169" s="256">
        <v>42103</v>
      </c>
      <c r="B169" s="294" t="str">
        <f>IFERROR(VLOOKUP(A169,[15]Listas!$A$91:$B$107,2,FALSE),"")</f>
        <v>MEJORAMIENTO DE LA PRODUCCIÓN, CIRCULACIÓN Y APROPIACIÓN SOCIAL DEL CONOCIMIENTO</v>
      </c>
      <c r="C169" s="344" t="s">
        <v>295</v>
      </c>
      <c r="D169" s="295" t="s">
        <v>100</v>
      </c>
      <c r="E169" s="296" t="s">
        <v>67</v>
      </c>
      <c r="F169" s="297" t="s">
        <v>304</v>
      </c>
      <c r="G169" s="332">
        <v>9719000</v>
      </c>
      <c r="H169" s="322" t="s">
        <v>300</v>
      </c>
      <c r="I169" s="323" t="str">
        <f>IFERROR(VLOOKUP(H169,[13]Listas!$B$126:$C$144,2,FALSE),"")</f>
        <v>Recursos Propios</v>
      </c>
      <c r="J169" s="550"/>
      <c r="K169" s="552"/>
      <c r="L169" s="554"/>
      <c r="M169" s="556"/>
      <c r="N169" s="558"/>
      <c r="O169" s="560"/>
      <c r="P169" s="562"/>
      <c r="Q169" s="562"/>
      <c r="R169" s="564"/>
      <c r="S169" s="546"/>
      <c r="T169" s="548"/>
      <c r="U169" s="298">
        <f t="shared" si="23"/>
        <v>9719000</v>
      </c>
      <c r="V169" s="298">
        <f t="shared" si="24"/>
        <v>9719000</v>
      </c>
      <c r="W169" s="299" t="s">
        <v>43</v>
      </c>
      <c r="X169" s="299" t="s">
        <v>46</v>
      </c>
      <c r="Y169" s="340" t="s">
        <v>454</v>
      </c>
      <c r="Z169" s="341" t="s">
        <v>49</v>
      </c>
      <c r="AA169" s="342" t="s">
        <v>455</v>
      </c>
      <c r="AB169" s="341" t="s">
        <v>101</v>
      </c>
      <c r="AC169" s="343" t="s">
        <v>50</v>
      </c>
      <c r="AD169" s="299" t="s">
        <v>43</v>
      </c>
      <c r="AE169" s="299" t="s">
        <v>47</v>
      </c>
      <c r="AF169" s="300" t="s">
        <v>72</v>
      </c>
      <c r="AG169" s="300" t="s">
        <v>73</v>
      </c>
      <c r="AH169" s="300" t="s">
        <v>74</v>
      </c>
      <c r="AI169" s="300" t="s">
        <v>298</v>
      </c>
      <c r="AJ169" s="300" t="s">
        <v>75</v>
      </c>
      <c r="AK169" s="300" t="s">
        <v>76</v>
      </c>
      <c r="AL169" s="137"/>
      <c r="AM169" s="137"/>
      <c r="AN169" s="137"/>
    </row>
    <row r="170" spans="1:40" s="137" customFormat="1" ht="45" hidden="1">
      <c r="A170" s="256">
        <v>42103</v>
      </c>
      <c r="B170" s="304" t="str">
        <f>IFERROR(VLOOKUP(A170,[12]Listas!$A$91:$B$107,2,FALSE),"")</f>
        <v>MEJORAMIENTO DE LA PRODUCCIÓN, CIRCULACIÓN Y APROPIACIÓN SOCIAL DEL CONOCIMIENTO</v>
      </c>
      <c r="C170" s="294" t="s">
        <v>295</v>
      </c>
      <c r="D170" s="295" t="s">
        <v>100</v>
      </c>
      <c r="E170" s="295" t="s">
        <v>67</v>
      </c>
      <c r="F170" s="309" t="s">
        <v>304</v>
      </c>
      <c r="G170" s="311">
        <v>6300000</v>
      </c>
      <c r="H170" s="312" t="s">
        <v>155</v>
      </c>
      <c r="I170" s="308" t="str">
        <f>IFERROR(VLOOKUP(H170,[12]Listas!$B$126:$C$144,2,FALSE),"")</f>
        <v>Recursos del Balance - Propios</v>
      </c>
      <c r="J170" s="275">
        <v>40</v>
      </c>
      <c r="K170" s="275" t="s">
        <v>47</v>
      </c>
      <c r="L170" s="305"/>
      <c r="M170" s="261" t="str">
        <f t="shared" ref="M170:M171" si="25">"INV-"&amp;A170&amp;"-"&amp;J170</f>
        <v>INV-42103-40</v>
      </c>
      <c r="N170" s="206">
        <v>80111600</v>
      </c>
      <c r="O170" s="155" t="s">
        <v>513</v>
      </c>
      <c r="P170" s="244" t="s">
        <v>55</v>
      </c>
      <c r="Q170" s="244" t="s">
        <v>55</v>
      </c>
      <c r="R170" s="256">
        <v>11</v>
      </c>
      <c r="S170" s="299" t="s">
        <v>45</v>
      </c>
      <c r="T170" s="198" t="s">
        <v>48</v>
      </c>
      <c r="U170" s="272">
        <f t="shared" si="23"/>
        <v>6300000</v>
      </c>
      <c r="V170" s="272">
        <f t="shared" si="24"/>
        <v>6300000</v>
      </c>
      <c r="W170" s="299" t="s">
        <v>43</v>
      </c>
      <c r="X170" s="199" t="s">
        <v>46</v>
      </c>
      <c r="Y170" s="200" t="s">
        <v>380</v>
      </c>
      <c r="Z170" s="201" t="s">
        <v>49</v>
      </c>
      <c r="AA170" s="204" t="s">
        <v>379</v>
      </c>
      <c r="AB170" s="201" t="s">
        <v>101</v>
      </c>
      <c r="AC170" s="202" t="s">
        <v>50</v>
      </c>
      <c r="AD170" s="199" t="s">
        <v>43</v>
      </c>
      <c r="AE170" s="199" t="s">
        <v>47</v>
      </c>
      <c r="AF170" s="203" t="s">
        <v>72</v>
      </c>
      <c r="AG170" s="300" t="s">
        <v>73</v>
      </c>
      <c r="AH170" s="203" t="s">
        <v>74</v>
      </c>
      <c r="AI170" s="203" t="s">
        <v>298</v>
      </c>
      <c r="AJ170" s="203" t="s">
        <v>75</v>
      </c>
      <c r="AK170" s="203" t="s">
        <v>76</v>
      </c>
    </row>
    <row r="171" spans="1:40" s="328" customFormat="1" ht="45" hidden="1">
      <c r="A171" s="318">
        <v>42103</v>
      </c>
      <c r="B171" s="347" t="str">
        <f>IFERROR(VLOOKUP(A171,[13]Listas!$A$91:$B$107,2,FALSE),"")</f>
        <v>MEJORAMIENTO DE LA PRODUCCIÓN, CIRCULACIÓN Y APROPIACIÓN SOCIAL DEL CONOCIMIENTO</v>
      </c>
      <c r="C171" s="320" t="s">
        <v>295</v>
      </c>
      <c r="D171" s="295" t="s">
        <v>100</v>
      </c>
      <c r="E171" s="295" t="s">
        <v>67</v>
      </c>
      <c r="F171" s="297" t="s">
        <v>304</v>
      </c>
      <c r="G171" s="321">
        <v>4000000</v>
      </c>
      <c r="H171" s="322" t="s">
        <v>155</v>
      </c>
      <c r="I171" s="323" t="str">
        <f>IFERROR(VLOOKUP(H171,[13]Listas!$B$126:$C$144,2,FALSE),"")</f>
        <v>Recursos del Balance - Propios</v>
      </c>
      <c r="J171" s="256">
        <v>41</v>
      </c>
      <c r="K171" s="318" t="s">
        <v>47</v>
      </c>
      <c r="L171" s="324"/>
      <c r="M171" s="325" t="str">
        <f t="shared" si="25"/>
        <v>INV-42103-41</v>
      </c>
      <c r="N171" s="206">
        <v>80111600</v>
      </c>
      <c r="O171" s="315" t="s">
        <v>385</v>
      </c>
      <c r="P171" s="326" t="s">
        <v>55</v>
      </c>
      <c r="Q171" s="326" t="s">
        <v>55</v>
      </c>
      <c r="R171" s="318">
        <v>1</v>
      </c>
      <c r="S171" s="299" t="s">
        <v>45</v>
      </c>
      <c r="T171" s="198" t="s">
        <v>48</v>
      </c>
      <c r="U171" s="327">
        <f t="shared" si="23"/>
        <v>4000000</v>
      </c>
      <c r="V171" s="327">
        <f t="shared" si="24"/>
        <v>4000000</v>
      </c>
      <c r="W171" s="299" t="s">
        <v>43</v>
      </c>
      <c r="X171" s="199" t="s">
        <v>46</v>
      </c>
      <c r="Y171" s="200" t="s">
        <v>380</v>
      </c>
      <c r="Z171" s="201" t="s">
        <v>49</v>
      </c>
      <c r="AA171" s="204" t="s">
        <v>379</v>
      </c>
      <c r="AB171" s="201" t="s">
        <v>101</v>
      </c>
      <c r="AC171" s="202" t="s">
        <v>50</v>
      </c>
      <c r="AD171" s="199" t="s">
        <v>43</v>
      </c>
      <c r="AE171" s="199" t="s">
        <v>47</v>
      </c>
      <c r="AF171" s="203" t="s">
        <v>72</v>
      </c>
      <c r="AG171" s="300" t="s">
        <v>73</v>
      </c>
      <c r="AH171" s="203" t="s">
        <v>74</v>
      </c>
      <c r="AI171" s="203" t="s">
        <v>298</v>
      </c>
      <c r="AJ171" s="203" t="s">
        <v>75</v>
      </c>
      <c r="AK171" s="203" t="s">
        <v>76</v>
      </c>
    </row>
    <row r="172" spans="1:40" s="137" customFormat="1" ht="51" hidden="1" customHeight="1">
      <c r="A172" s="256">
        <v>42103</v>
      </c>
      <c r="B172" s="347" t="str">
        <f>IFERROR(VLOOKUP(A172,[13]Listas!$A$91:$B$107,2,FALSE),"")</f>
        <v>MEJORAMIENTO DE LA PRODUCCIÓN, CIRCULACIÓN Y APROPIACIÓN SOCIAL DEL CONOCIMIENTO</v>
      </c>
      <c r="C172" s="344" t="s">
        <v>295</v>
      </c>
      <c r="D172" s="295" t="s">
        <v>100</v>
      </c>
      <c r="E172" s="295" t="s">
        <v>67</v>
      </c>
      <c r="F172" s="297" t="s">
        <v>304</v>
      </c>
      <c r="G172" s="321">
        <v>2900000</v>
      </c>
      <c r="H172" s="322" t="s">
        <v>155</v>
      </c>
      <c r="I172" s="304" t="str">
        <f>IFERROR(VLOOKUP(H172,[12]Listas!$B$126:$C$144,2,FALSE),"")</f>
        <v>Recursos del Balance - Propios</v>
      </c>
      <c r="J172" s="333" t="s">
        <v>514</v>
      </c>
      <c r="K172" s="334" t="s">
        <v>47</v>
      </c>
      <c r="L172" s="305"/>
      <c r="M172" s="274" t="str">
        <f>"INV-"&amp;A172&amp;"-"&amp;J172</f>
        <v>INV-42103-42</v>
      </c>
      <c r="N172" s="345">
        <v>80111600</v>
      </c>
      <c r="O172" s="315" t="s">
        <v>515</v>
      </c>
      <c r="P172" s="326" t="s">
        <v>55</v>
      </c>
      <c r="Q172" s="326" t="s">
        <v>55</v>
      </c>
      <c r="R172" s="209">
        <v>4</v>
      </c>
      <c r="S172" s="299" t="s">
        <v>45</v>
      </c>
      <c r="T172" s="198" t="s">
        <v>48</v>
      </c>
      <c r="U172" s="327">
        <f t="shared" si="23"/>
        <v>2900000</v>
      </c>
      <c r="V172" s="327">
        <f t="shared" si="24"/>
        <v>2900000</v>
      </c>
      <c r="W172" s="299" t="s">
        <v>43</v>
      </c>
      <c r="X172" s="199" t="s">
        <v>46</v>
      </c>
      <c r="Y172" s="200" t="s">
        <v>454</v>
      </c>
      <c r="Z172" s="201" t="s">
        <v>49</v>
      </c>
      <c r="AA172" s="204" t="s">
        <v>455</v>
      </c>
      <c r="AB172" s="201" t="s">
        <v>101</v>
      </c>
      <c r="AC172" s="202" t="s">
        <v>50</v>
      </c>
      <c r="AD172" s="199" t="s">
        <v>43</v>
      </c>
      <c r="AE172" s="199" t="s">
        <v>47</v>
      </c>
      <c r="AF172" s="203" t="s">
        <v>72</v>
      </c>
      <c r="AG172" s="300" t="s">
        <v>73</v>
      </c>
      <c r="AH172" s="203" t="s">
        <v>74</v>
      </c>
      <c r="AI172" s="203" t="s">
        <v>298</v>
      </c>
      <c r="AJ172" s="203" t="s">
        <v>75</v>
      </c>
      <c r="AK172" s="203" t="s">
        <v>76</v>
      </c>
    </row>
    <row r="173" spans="1:40" s="137" customFormat="1" ht="48" hidden="1">
      <c r="A173" s="256">
        <v>42103</v>
      </c>
      <c r="B173" s="304" t="str">
        <f>IFERROR(VLOOKUP(A173,[12]Listas!$A$91:$B$107,2,FALSE),"")</f>
        <v>MEJORAMIENTO DE LA PRODUCCIÓN, CIRCULACIÓN Y APROPIACIÓN SOCIAL DEL CONOCIMIENTO</v>
      </c>
      <c r="C173" s="294" t="s">
        <v>295</v>
      </c>
      <c r="D173" s="295" t="s">
        <v>100</v>
      </c>
      <c r="E173" s="295" t="s">
        <v>67</v>
      </c>
      <c r="F173" s="156" t="s">
        <v>304</v>
      </c>
      <c r="G173" s="157">
        <v>5000000</v>
      </c>
      <c r="H173" s="158" t="s">
        <v>300</v>
      </c>
      <c r="I173" s="159" t="str">
        <f>IFERROR(VLOOKUP(H173,[12]Listas!$B$126:$C$144,2,FALSE),"")</f>
        <v>Recursos Propios</v>
      </c>
      <c r="J173" s="160">
        <v>43</v>
      </c>
      <c r="K173" s="160" t="s">
        <v>47</v>
      </c>
      <c r="L173" s="354"/>
      <c r="M173" s="161" t="str">
        <f t="shared" ref="M173:M174" si="26">"INV-"&amp;A173&amp;"-"&amp;J173</f>
        <v>INV-42103-43</v>
      </c>
      <c r="N173" s="256">
        <v>82121500</v>
      </c>
      <c r="O173" s="162" t="s">
        <v>316</v>
      </c>
      <c r="P173" s="244" t="s">
        <v>55</v>
      </c>
      <c r="Q173" s="244" t="s">
        <v>55</v>
      </c>
      <c r="R173" s="256">
        <v>5</v>
      </c>
      <c r="S173" s="299" t="s">
        <v>45</v>
      </c>
      <c r="T173" s="198" t="s">
        <v>48</v>
      </c>
      <c r="U173" s="272">
        <f t="shared" si="23"/>
        <v>5000000</v>
      </c>
      <c r="V173" s="272">
        <f t="shared" si="24"/>
        <v>5000000</v>
      </c>
      <c r="W173" s="299" t="s">
        <v>43</v>
      </c>
      <c r="X173" s="199" t="s">
        <v>46</v>
      </c>
      <c r="Y173" s="200" t="s">
        <v>380</v>
      </c>
      <c r="Z173" s="201" t="s">
        <v>49</v>
      </c>
      <c r="AA173" s="204" t="s">
        <v>379</v>
      </c>
      <c r="AB173" s="201" t="s">
        <v>101</v>
      </c>
      <c r="AC173" s="202" t="s">
        <v>50</v>
      </c>
      <c r="AD173" s="199" t="s">
        <v>43</v>
      </c>
      <c r="AE173" s="199" t="s">
        <v>47</v>
      </c>
      <c r="AF173" s="203" t="s">
        <v>72</v>
      </c>
      <c r="AG173" s="300" t="s">
        <v>73</v>
      </c>
      <c r="AH173" s="203" t="s">
        <v>74</v>
      </c>
      <c r="AI173" s="203" t="s">
        <v>298</v>
      </c>
      <c r="AJ173" s="203" t="s">
        <v>75</v>
      </c>
      <c r="AK173" s="203" t="s">
        <v>76</v>
      </c>
    </row>
    <row r="174" spans="1:40" s="137" customFormat="1" ht="45" hidden="1">
      <c r="A174" s="256">
        <v>42103</v>
      </c>
      <c r="B174" s="304" t="str">
        <f>IFERROR(VLOOKUP(A174,[12]Listas!$A$91:$B$107,2,FALSE),"")</f>
        <v>MEJORAMIENTO DE LA PRODUCCIÓN, CIRCULACIÓN Y APROPIACIÓN SOCIAL DEL CONOCIMIENTO</v>
      </c>
      <c r="C174" s="294" t="s">
        <v>295</v>
      </c>
      <c r="D174" s="295" t="s">
        <v>100</v>
      </c>
      <c r="E174" s="295" t="s">
        <v>67</v>
      </c>
      <c r="F174" s="156" t="s">
        <v>304</v>
      </c>
      <c r="G174" s="157">
        <v>15000000</v>
      </c>
      <c r="H174" s="158" t="s">
        <v>300</v>
      </c>
      <c r="I174" s="159" t="str">
        <f>IFERROR(VLOOKUP(H174,[12]Listas!$B$126:$C$144,2,FALSE),"")</f>
        <v>Recursos Propios</v>
      </c>
      <c r="J174" s="160">
        <v>44</v>
      </c>
      <c r="K174" s="160" t="s">
        <v>47</v>
      </c>
      <c r="L174" s="354"/>
      <c r="M174" s="161" t="str">
        <f t="shared" si="26"/>
        <v>INV-42103-44</v>
      </c>
      <c r="N174" s="256">
        <v>82121500</v>
      </c>
      <c r="O174" s="162" t="s">
        <v>534</v>
      </c>
      <c r="P174" s="244" t="s">
        <v>55</v>
      </c>
      <c r="Q174" s="244" t="s">
        <v>55</v>
      </c>
      <c r="R174" s="256">
        <v>5</v>
      </c>
      <c r="S174" s="299" t="s">
        <v>45</v>
      </c>
      <c r="T174" s="198" t="s">
        <v>48</v>
      </c>
      <c r="U174" s="272">
        <f t="shared" si="23"/>
        <v>15000000</v>
      </c>
      <c r="V174" s="272">
        <f t="shared" si="24"/>
        <v>15000000</v>
      </c>
      <c r="W174" s="299" t="s">
        <v>43</v>
      </c>
      <c r="X174" s="199" t="s">
        <v>46</v>
      </c>
      <c r="Y174" s="200" t="s">
        <v>380</v>
      </c>
      <c r="Z174" s="201" t="s">
        <v>49</v>
      </c>
      <c r="AA174" s="204" t="s">
        <v>379</v>
      </c>
      <c r="AB174" s="201" t="s">
        <v>101</v>
      </c>
      <c r="AC174" s="202" t="s">
        <v>50</v>
      </c>
      <c r="AD174" s="199" t="s">
        <v>43</v>
      </c>
      <c r="AE174" s="199" t="s">
        <v>47</v>
      </c>
      <c r="AF174" s="203" t="s">
        <v>72</v>
      </c>
      <c r="AG174" s="300" t="s">
        <v>73</v>
      </c>
      <c r="AH174" s="203" t="s">
        <v>74</v>
      </c>
      <c r="AI174" s="203" t="s">
        <v>298</v>
      </c>
      <c r="AJ174" s="203" t="s">
        <v>75</v>
      </c>
      <c r="AK174" s="203" t="s">
        <v>76</v>
      </c>
    </row>
    <row r="175" spans="1:40" s="137" customFormat="1" ht="42.75" hidden="1" customHeight="1">
      <c r="A175" s="131">
        <v>43102</v>
      </c>
      <c r="B175" s="132" t="str">
        <f>IFERROR(VLOOKUP(A175,[16]Listas!$A$91:$B$107,2,FALSE),"")</f>
        <v>MEJORAMIENTO DE LA INFRAESTRUCTURA TECNOLÓGICA</v>
      </c>
      <c r="C175" s="133" t="s">
        <v>323</v>
      </c>
      <c r="D175" s="132" t="s">
        <v>324</v>
      </c>
      <c r="E175" s="132" t="s">
        <v>67</v>
      </c>
      <c r="F175" s="132" t="s">
        <v>325</v>
      </c>
      <c r="G175" s="134">
        <v>805035618</v>
      </c>
      <c r="H175" s="135">
        <v>10.02</v>
      </c>
      <c r="I175" s="136" t="str">
        <f>IFERROR(VLOOKUP(H175,[16]Listas!$B$124:$C$142,2,FALSE),"")</f>
        <v>Aportes de la Nacion - Inversion</v>
      </c>
      <c r="J175" s="457">
        <v>1</v>
      </c>
      <c r="K175" s="457" t="s">
        <v>47</v>
      </c>
      <c r="L175" s="457"/>
      <c r="M175" s="534" t="str">
        <f>"INV-"&amp;A175&amp;"-"&amp;J175</f>
        <v>INV-43102-1</v>
      </c>
      <c r="N175" s="535" t="s">
        <v>389</v>
      </c>
      <c r="O175" s="523" t="s">
        <v>390</v>
      </c>
      <c r="P175" s="470" t="s">
        <v>55</v>
      </c>
      <c r="Q175" s="470" t="s">
        <v>44</v>
      </c>
      <c r="R175" s="471">
        <v>11</v>
      </c>
      <c r="S175" s="470" t="s">
        <v>45</v>
      </c>
      <c r="T175" s="538" t="s">
        <v>174</v>
      </c>
      <c r="U175" s="532">
        <f>+G175+G176+G177+G178+G179</f>
        <v>1417440280</v>
      </c>
      <c r="V175" s="532">
        <f>+U175</f>
        <v>1417440280</v>
      </c>
      <c r="W175" s="470" t="s">
        <v>43</v>
      </c>
      <c r="X175" s="470" t="s">
        <v>46</v>
      </c>
      <c r="Y175" s="468" t="s">
        <v>447</v>
      </c>
      <c r="Z175" s="468" t="s">
        <v>49</v>
      </c>
      <c r="AA175" s="540" t="s">
        <v>326</v>
      </c>
      <c r="AB175" s="468" t="s">
        <v>391</v>
      </c>
      <c r="AC175" s="468" t="s">
        <v>392</v>
      </c>
      <c r="AD175" s="470" t="s">
        <v>43</v>
      </c>
      <c r="AE175" s="470" t="s">
        <v>47</v>
      </c>
      <c r="AF175" s="451" t="s">
        <v>298</v>
      </c>
      <c r="AG175" s="451" t="s">
        <v>327</v>
      </c>
      <c r="AH175" s="451" t="s">
        <v>74</v>
      </c>
      <c r="AI175" s="451" t="s">
        <v>72</v>
      </c>
      <c r="AJ175" s="451" t="s">
        <v>75</v>
      </c>
      <c r="AK175" s="451" t="s">
        <v>76</v>
      </c>
    </row>
    <row r="176" spans="1:40" s="137" customFormat="1" ht="42.75" hidden="1" customHeight="1">
      <c r="A176" s="131">
        <v>43102</v>
      </c>
      <c r="B176" s="132" t="str">
        <f>IFERROR(VLOOKUP(A176,[16]Listas!$A$91:$B$107,2,FALSE),"")</f>
        <v>MEJORAMIENTO DE LA INFRAESTRUCTURA TECNOLÓGICA</v>
      </c>
      <c r="C176" s="133" t="s">
        <v>323</v>
      </c>
      <c r="D176" s="132" t="s">
        <v>324</v>
      </c>
      <c r="E176" s="132" t="s">
        <v>67</v>
      </c>
      <c r="F176" s="132" t="s">
        <v>325</v>
      </c>
      <c r="G176" s="134">
        <v>298800000</v>
      </c>
      <c r="H176" s="135">
        <v>20.010000000000002</v>
      </c>
      <c r="I176" s="136" t="str">
        <f>IFERROR(VLOOKUP(H176,[16]Listas!$B$124:$C$142,2,FALSE),"")</f>
        <v>Recursos Propios</v>
      </c>
      <c r="J176" s="436"/>
      <c r="K176" s="436"/>
      <c r="L176" s="436"/>
      <c r="M176" s="431"/>
      <c r="N176" s="433"/>
      <c r="O176" s="524"/>
      <c r="P176" s="435"/>
      <c r="Q176" s="435"/>
      <c r="R176" s="450"/>
      <c r="S176" s="435"/>
      <c r="T176" s="539"/>
      <c r="U176" s="533"/>
      <c r="V176" s="533"/>
      <c r="W176" s="435"/>
      <c r="X176" s="435"/>
      <c r="Y176" s="469"/>
      <c r="Z176" s="469"/>
      <c r="AA176" s="541"/>
      <c r="AB176" s="469"/>
      <c r="AC176" s="469"/>
      <c r="AD176" s="435" t="s">
        <v>43</v>
      </c>
      <c r="AE176" s="435" t="s">
        <v>47</v>
      </c>
      <c r="AF176" s="452"/>
      <c r="AG176" s="452" t="s">
        <v>327</v>
      </c>
      <c r="AH176" s="452" t="s">
        <v>74</v>
      </c>
      <c r="AI176" s="452" t="s">
        <v>72</v>
      </c>
      <c r="AJ176" s="452" t="s">
        <v>75</v>
      </c>
      <c r="AK176" s="452" t="s">
        <v>76</v>
      </c>
    </row>
    <row r="177" spans="1:37" s="137" customFormat="1" ht="42.75" hidden="1" customHeight="1">
      <c r="A177" s="131">
        <v>43102</v>
      </c>
      <c r="B177" s="132" t="str">
        <f>IFERROR(VLOOKUP(A177,[16]Listas!$A$91:$B$107,2,FALSE),"")</f>
        <v>MEJORAMIENTO DE LA INFRAESTRUCTURA TECNOLÓGICA</v>
      </c>
      <c r="C177" s="133" t="s">
        <v>323</v>
      </c>
      <c r="D177" s="132" t="s">
        <v>324</v>
      </c>
      <c r="E177" s="132" t="s">
        <v>67</v>
      </c>
      <c r="F177" s="132" t="s">
        <v>325</v>
      </c>
      <c r="G177" s="134">
        <v>155668886</v>
      </c>
      <c r="H177" s="135" t="s">
        <v>328</v>
      </c>
      <c r="I177" s="136" t="str">
        <f>IFERROR(VLOOKUP(H177,[16]Listas!$B$124:$C$142,2,FALSE),"")</f>
        <v>Rendimientos Recursos Nación Inversión</v>
      </c>
      <c r="J177" s="436"/>
      <c r="K177" s="436"/>
      <c r="L177" s="436"/>
      <c r="M177" s="431"/>
      <c r="N177" s="433"/>
      <c r="O177" s="524"/>
      <c r="P177" s="435"/>
      <c r="Q177" s="435"/>
      <c r="R177" s="450"/>
      <c r="S177" s="435"/>
      <c r="T177" s="539"/>
      <c r="U177" s="533"/>
      <c r="V177" s="533"/>
      <c r="W177" s="435"/>
      <c r="X177" s="435"/>
      <c r="Y177" s="469"/>
      <c r="Z177" s="469"/>
      <c r="AA177" s="541"/>
      <c r="AB177" s="469"/>
      <c r="AC177" s="469"/>
      <c r="AD177" s="435" t="s">
        <v>43</v>
      </c>
      <c r="AE177" s="435" t="s">
        <v>47</v>
      </c>
      <c r="AF177" s="452"/>
      <c r="AG177" s="452" t="s">
        <v>327</v>
      </c>
      <c r="AH177" s="452" t="s">
        <v>74</v>
      </c>
      <c r="AI177" s="452" t="s">
        <v>72</v>
      </c>
      <c r="AJ177" s="452" t="s">
        <v>75</v>
      </c>
      <c r="AK177" s="452" t="s">
        <v>76</v>
      </c>
    </row>
    <row r="178" spans="1:37" s="137" customFormat="1" ht="42.75" hidden="1" customHeight="1">
      <c r="A178" s="131">
        <v>43102</v>
      </c>
      <c r="B178" s="132" t="str">
        <f>IFERROR(VLOOKUP(A178,[16]Listas!$A$91:$B$107,2,FALSE),"")</f>
        <v>MEJORAMIENTO DE LA INFRAESTRUCTURA TECNOLÓGICA</v>
      </c>
      <c r="C178" s="133" t="s">
        <v>323</v>
      </c>
      <c r="D178" s="132" t="s">
        <v>324</v>
      </c>
      <c r="E178" s="132" t="s">
        <v>67</v>
      </c>
      <c r="F178" s="132" t="s">
        <v>325</v>
      </c>
      <c r="G178" s="134">
        <v>119935776</v>
      </c>
      <c r="H178" s="135" t="s">
        <v>155</v>
      </c>
      <c r="I178" s="136" t="str">
        <f>IFERROR(VLOOKUP(H178,[16]Listas!$B$124:$C$142,2,FALSE),"")</f>
        <v>Recursos del Balance - Propios</v>
      </c>
      <c r="J178" s="436"/>
      <c r="K178" s="436"/>
      <c r="L178" s="436"/>
      <c r="M178" s="170"/>
      <c r="N178" s="171"/>
      <c r="O178" s="524"/>
      <c r="P178" s="435"/>
      <c r="Q178" s="435"/>
      <c r="R178" s="450"/>
      <c r="S178" s="169"/>
      <c r="T178" s="173"/>
      <c r="U178" s="533"/>
      <c r="V178" s="533"/>
      <c r="W178" s="169"/>
      <c r="X178" s="169"/>
      <c r="Y178" s="175"/>
      <c r="Z178" s="175"/>
      <c r="AA178" s="177"/>
      <c r="AB178" s="175"/>
      <c r="AC178" s="175"/>
      <c r="AD178" s="169"/>
      <c r="AE178" s="169"/>
      <c r="AF178" s="166"/>
      <c r="AG178" s="166"/>
      <c r="AH178" s="166"/>
      <c r="AI178" s="166"/>
      <c r="AJ178" s="166"/>
      <c r="AK178" s="166"/>
    </row>
    <row r="179" spans="1:37" s="137" customFormat="1" ht="42.75" hidden="1" customHeight="1">
      <c r="A179" s="131">
        <v>43102</v>
      </c>
      <c r="B179" s="132" t="str">
        <f>IFERROR(VLOOKUP(A179,[16]Listas!$A$91:$B$107,2,FALSE),"")</f>
        <v>MEJORAMIENTO DE LA INFRAESTRUCTURA TECNOLÓGICA</v>
      </c>
      <c r="C179" s="133" t="s">
        <v>323</v>
      </c>
      <c r="D179" s="132" t="s">
        <v>324</v>
      </c>
      <c r="E179" s="132" t="s">
        <v>67</v>
      </c>
      <c r="F179" s="138" t="s">
        <v>329</v>
      </c>
      <c r="G179" s="134">
        <v>38000000</v>
      </c>
      <c r="H179" s="135">
        <v>17</v>
      </c>
      <c r="I179" s="136" t="str">
        <f>IFERROR(VLOOKUP(H179,[16]Listas!$B$124:$C$142,2,FALSE),"")</f>
        <v>Recursos Estampilla UNAL y Otras Universidades</v>
      </c>
      <c r="J179" s="426"/>
      <c r="K179" s="426"/>
      <c r="L179" s="426"/>
      <c r="M179" s="170"/>
      <c r="N179" s="171"/>
      <c r="O179" s="525"/>
      <c r="P179" s="412"/>
      <c r="Q179" s="412"/>
      <c r="R179" s="441"/>
      <c r="S179" s="169"/>
      <c r="T179" s="173"/>
      <c r="U179" s="544"/>
      <c r="V179" s="544"/>
      <c r="W179" s="169"/>
      <c r="X179" s="169"/>
      <c r="Y179" s="175"/>
      <c r="Z179" s="175"/>
      <c r="AA179" s="177"/>
      <c r="AB179" s="175"/>
      <c r="AC179" s="175"/>
      <c r="AD179" s="169"/>
      <c r="AE179" s="169"/>
      <c r="AF179" s="166"/>
      <c r="AG179" s="166"/>
      <c r="AH179" s="166"/>
      <c r="AI179" s="166"/>
      <c r="AJ179" s="166"/>
      <c r="AK179" s="166"/>
    </row>
    <row r="180" spans="1:37" s="137" customFormat="1" ht="42.75" hidden="1" customHeight="1">
      <c r="A180" s="131">
        <v>43102</v>
      </c>
      <c r="B180" s="133" t="str">
        <f>IFERROR(VLOOKUP(A180,[16]Listas!$A$91:$B$107,2,FALSE),"")</f>
        <v>MEJORAMIENTO DE LA INFRAESTRUCTURA TECNOLÓGICA</v>
      </c>
      <c r="C180" s="133" t="s">
        <v>323</v>
      </c>
      <c r="D180" s="132" t="s">
        <v>324</v>
      </c>
      <c r="E180" s="132" t="s">
        <v>67</v>
      </c>
      <c r="F180" s="132" t="s">
        <v>325</v>
      </c>
      <c r="G180" s="134">
        <v>147075656</v>
      </c>
      <c r="H180" s="135">
        <v>17</v>
      </c>
      <c r="I180" s="136" t="str">
        <f>IFERROR(VLOOKUP(H180,[16]Listas!$B$124:$C$142,2,FALSE),"")</f>
        <v>Recursos Estampilla UNAL y Otras Universidades</v>
      </c>
      <c r="J180" s="131">
        <v>2</v>
      </c>
      <c r="K180" s="131" t="s">
        <v>47</v>
      </c>
      <c r="L180" s="139"/>
      <c r="M180" s="140" t="str">
        <f>"INV-"&amp;A180&amp;"-"&amp;J180</f>
        <v>INV-43102-2</v>
      </c>
      <c r="N180" s="179">
        <v>81112501</v>
      </c>
      <c r="O180" s="141" t="s">
        <v>393</v>
      </c>
      <c r="P180" s="142" t="s">
        <v>55</v>
      </c>
      <c r="Q180" s="142" t="s">
        <v>55</v>
      </c>
      <c r="R180" s="135">
        <v>4</v>
      </c>
      <c r="S180" s="142" t="s">
        <v>45</v>
      </c>
      <c r="T180" s="172" t="s">
        <v>174</v>
      </c>
      <c r="U180" s="143">
        <f>+G180</f>
        <v>147075656</v>
      </c>
      <c r="V180" s="143">
        <v>147075656</v>
      </c>
      <c r="W180" s="142" t="s">
        <v>43</v>
      </c>
      <c r="X180" s="142" t="s">
        <v>46</v>
      </c>
      <c r="Y180" s="174" t="s">
        <v>447</v>
      </c>
      <c r="Z180" s="174" t="s">
        <v>49</v>
      </c>
      <c r="AA180" s="176" t="s">
        <v>326</v>
      </c>
      <c r="AB180" s="174" t="s">
        <v>391</v>
      </c>
      <c r="AC180" s="180" t="s">
        <v>392</v>
      </c>
      <c r="AD180" s="144" t="s">
        <v>43</v>
      </c>
      <c r="AE180" s="144" t="s">
        <v>47</v>
      </c>
      <c r="AF180" s="145" t="s">
        <v>298</v>
      </c>
      <c r="AG180" s="145" t="s">
        <v>327</v>
      </c>
      <c r="AH180" s="145" t="s">
        <v>74</v>
      </c>
      <c r="AI180" s="145" t="s">
        <v>72</v>
      </c>
      <c r="AJ180" s="145" t="s">
        <v>75</v>
      </c>
      <c r="AK180" s="145" t="s">
        <v>76</v>
      </c>
    </row>
    <row r="181" spans="1:37" s="137" customFormat="1" ht="42.75" hidden="1" customHeight="1">
      <c r="A181" s="131">
        <v>43102</v>
      </c>
      <c r="B181" s="133" t="str">
        <f>IFERROR(VLOOKUP(A181,[16]Listas!$A$91:$B$107,2,FALSE),"")</f>
        <v>MEJORAMIENTO DE LA INFRAESTRUCTURA TECNOLÓGICA</v>
      </c>
      <c r="C181" s="133" t="s">
        <v>323</v>
      </c>
      <c r="D181" s="132" t="s">
        <v>324</v>
      </c>
      <c r="E181" s="132" t="s">
        <v>67</v>
      </c>
      <c r="F181" s="132" t="s">
        <v>325</v>
      </c>
      <c r="G181" s="134">
        <v>80760739</v>
      </c>
      <c r="H181" s="135">
        <v>17</v>
      </c>
      <c r="I181" s="136" t="str">
        <f>IFERROR(VLOOKUP(H181,[16]Listas!$B$124:$C$142,2,FALSE),"")</f>
        <v>Recursos Estampilla UNAL y Otras Universidades</v>
      </c>
      <c r="J181" s="457">
        <v>3</v>
      </c>
      <c r="K181" s="457" t="s">
        <v>47</v>
      </c>
      <c r="L181" s="526"/>
      <c r="M181" s="528" t="str">
        <f>"INV-"&amp;A181&amp;"-"&amp;J181</f>
        <v>INV-43102-3</v>
      </c>
      <c r="N181" s="530">
        <v>81112501</v>
      </c>
      <c r="O181" s="523" t="s">
        <v>394</v>
      </c>
      <c r="P181" s="470" t="s">
        <v>55</v>
      </c>
      <c r="Q181" s="470" t="s">
        <v>55</v>
      </c>
      <c r="R181" s="471">
        <v>4</v>
      </c>
      <c r="S181" s="470" t="s">
        <v>330</v>
      </c>
      <c r="T181" s="470" t="s">
        <v>99</v>
      </c>
      <c r="U181" s="532">
        <f>+G181+G182</f>
        <v>90733789</v>
      </c>
      <c r="V181" s="532">
        <f>+U181</f>
        <v>90733789</v>
      </c>
      <c r="W181" s="470" t="s">
        <v>43</v>
      </c>
      <c r="X181" s="470" t="s">
        <v>46</v>
      </c>
      <c r="Y181" s="468" t="s">
        <v>447</v>
      </c>
      <c r="Z181" s="468" t="s">
        <v>49</v>
      </c>
      <c r="AA181" s="540" t="s">
        <v>326</v>
      </c>
      <c r="AB181" s="468" t="s">
        <v>395</v>
      </c>
      <c r="AC181" s="542" t="s">
        <v>392</v>
      </c>
      <c r="AD181" s="536" t="s">
        <v>43</v>
      </c>
      <c r="AE181" s="536" t="s">
        <v>47</v>
      </c>
      <c r="AF181" s="451" t="s">
        <v>298</v>
      </c>
      <c r="AG181" s="451" t="s">
        <v>327</v>
      </c>
      <c r="AH181" s="451" t="s">
        <v>74</v>
      </c>
      <c r="AI181" s="451" t="s">
        <v>72</v>
      </c>
      <c r="AJ181" s="451" t="s">
        <v>75</v>
      </c>
      <c r="AK181" s="451" t="s">
        <v>76</v>
      </c>
    </row>
    <row r="182" spans="1:37" s="137" customFormat="1" ht="42.75" hidden="1" customHeight="1">
      <c r="A182" s="131">
        <v>43102</v>
      </c>
      <c r="B182" s="133" t="str">
        <f>IFERROR(VLOOKUP(A182,[16]Listas!$A$91:$B$107,2,FALSE),"")</f>
        <v>MEJORAMIENTO DE LA INFRAESTRUCTURA TECNOLÓGICA</v>
      </c>
      <c r="C182" s="133" t="s">
        <v>323</v>
      </c>
      <c r="D182" s="132" t="s">
        <v>324</v>
      </c>
      <c r="E182" s="132" t="s">
        <v>67</v>
      </c>
      <c r="F182" s="132" t="s">
        <v>325</v>
      </c>
      <c r="G182" s="134">
        <v>9973050</v>
      </c>
      <c r="H182" s="135" t="s">
        <v>155</v>
      </c>
      <c r="I182" s="136" t="str">
        <f>IFERROR(VLOOKUP(H182,[16]Listas!$B$124:$C$142,2,FALSE),"")</f>
        <v>Recursos del Balance - Propios</v>
      </c>
      <c r="J182" s="436"/>
      <c r="K182" s="436"/>
      <c r="L182" s="527"/>
      <c r="M182" s="529"/>
      <c r="N182" s="531"/>
      <c r="O182" s="524"/>
      <c r="P182" s="435"/>
      <c r="Q182" s="435"/>
      <c r="R182" s="450"/>
      <c r="S182" s="435"/>
      <c r="T182" s="435"/>
      <c r="U182" s="533"/>
      <c r="V182" s="533"/>
      <c r="W182" s="435"/>
      <c r="X182" s="435"/>
      <c r="Y182" s="469"/>
      <c r="Z182" s="469"/>
      <c r="AA182" s="541"/>
      <c r="AB182" s="469"/>
      <c r="AC182" s="543"/>
      <c r="AD182" s="537"/>
      <c r="AE182" s="537"/>
      <c r="AF182" s="452"/>
      <c r="AG182" s="452"/>
      <c r="AH182" s="452"/>
      <c r="AI182" s="452"/>
      <c r="AJ182" s="452"/>
      <c r="AK182" s="452"/>
    </row>
    <row r="183" spans="1:37" s="137" customFormat="1" ht="42.75" hidden="1" customHeight="1">
      <c r="A183" s="131">
        <v>43102</v>
      </c>
      <c r="B183" s="133" t="str">
        <f>IFERROR(VLOOKUP(A183,[16]Listas!$A$91:$B$107,2,FALSE),"")</f>
        <v>MEJORAMIENTO DE LA INFRAESTRUCTURA TECNOLÓGICA</v>
      </c>
      <c r="C183" s="133" t="s">
        <v>323</v>
      </c>
      <c r="D183" s="132" t="s">
        <v>324</v>
      </c>
      <c r="E183" s="132" t="s">
        <v>67</v>
      </c>
      <c r="F183" s="132" t="s">
        <v>325</v>
      </c>
      <c r="G183" s="134">
        <v>102163605</v>
      </c>
      <c r="H183" s="146">
        <v>17</v>
      </c>
      <c r="I183" s="136" t="str">
        <f>IFERROR(VLOOKUP(H183,[16]Listas!$B$124:$C$142,2,FALSE),"")</f>
        <v>Recursos Estampilla UNAL y Otras Universidades</v>
      </c>
      <c r="J183" s="131">
        <v>4</v>
      </c>
      <c r="K183" s="131" t="s">
        <v>47</v>
      </c>
      <c r="L183" s="139"/>
      <c r="M183" s="140" t="str">
        <f>"INV-"&amp;A183&amp;"-"&amp;J183</f>
        <v>INV-43102-4</v>
      </c>
      <c r="N183" s="179">
        <v>81112501</v>
      </c>
      <c r="O183" s="141" t="s">
        <v>396</v>
      </c>
      <c r="P183" s="142" t="s">
        <v>55</v>
      </c>
      <c r="Q183" s="142" t="s">
        <v>55</v>
      </c>
      <c r="R183" s="135">
        <v>4</v>
      </c>
      <c r="S183" s="142" t="s">
        <v>330</v>
      </c>
      <c r="T183" s="172" t="s">
        <v>99</v>
      </c>
      <c r="U183" s="143">
        <f>+G183</f>
        <v>102163605</v>
      </c>
      <c r="V183" s="143">
        <v>102163605</v>
      </c>
      <c r="W183" s="142" t="s">
        <v>43</v>
      </c>
      <c r="X183" s="142" t="s">
        <v>46</v>
      </c>
      <c r="Y183" s="174" t="s">
        <v>447</v>
      </c>
      <c r="Z183" s="174" t="s">
        <v>49</v>
      </c>
      <c r="AA183" s="176" t="s">
        <v>326</v>
      </c>
      <c r="AB183" s="174" t="s">
        <v>397</v>
      </c>
      <c r="AC183" s="180" t="s">
        <v>392</v>
      </c>
      <c r="AD183" s="144" t="s">
        <v>43</v>
      </c>
      <c r="AE183" s="144" t="s">
        <v>47</v>
      </c>
      <c r="AF183" s="145" t="s">
        <v>298</v>
      </c>
      <c r="AG183" s="145" t="s">
        <v>327</v>
      </c>
      <c r="AH183" s="145" t="s">
        <v>74</v>
      </c>
      <c r="AI183" s="145" t="s">
        <v>72</v>
      </c>
      <c r="AJ183" s="145" t="s">
        <v>75</v>
      </c>
      <c r="AK183" s="145" t="s">
        <v>76</v>
      </c>
    </row>
    <row r="184" spans="1:37" s="137" customFormat="1" ht="66" hidden="1" customHeight="1">
      <c r="A184" s="131">
        <v>43102</v>
      </c>
      <c r="B184" s="133" t="str">
        <f>IFERROR(VLOOKUP(A184,[16]Listas!$A$91:$B$107,2,FALSE),"")</f>
        <v>MEJORAMIENTO DE LA INFRAESTRUCTURA TECNOLÓGICA</v>
      </c>
      <c r="C184" s="133" t="s">
        <v>331</v>
      </c>
      <c r="D184" s="132" t="s">
        <v>324</v>
      </c>
      <c r="E184" s="132" t="s">
        <v>67</v>
      </c>
      <c r="F184" s="138" t="s">
        <v>329</v>
      </c>
      <c r="G184" s="134">
        <v>819212800</v>
      </c>
      <c r="H184" s="146">
        <v>17</v>
      </c>
      <c r="I184" s="136" t="str">
        <f>IFERROR(VLOOKUP(H184,[16]Listas!$B$124:$C$142,2,FALSE),"")</f>
        <v>Recursos Estampilla UNAL y Otras Universidades</v>
      </c>
      <c r="J184" s="147">
        <v>5</v>
      </c>
      <c r="K184" s="147" t="s">
        <v>47</v>
      </c>
      <c r="L184" s="147"/>
      <c r="M184" s="178" t="str">
        <f>"INV-"&amp;A184&amp;"-"&amp;J184</f>
        <v>INV-43102-5</v>
      </c>
      <c r="N184" s="179" t="s">
        <v>448</v>
      </c>
      <c r="O184" s="148" t="s">
        <v>398</v>
      </c>
      <c r="P184" s="168" t="s">
        <v>115</v>
      </c>
      <c r="Q184" s="168" t="s">
        <v>143</v>
      </c>
      <c r="R184" s="147">
        <v>5</v>
      </c>
      <c r="S184" s="168" t="s">
        <v>45</v>
      </c>
      <c r="T184" s="172" t="s">
        <v>174</v>
      </c>
      <c r="U184" s="167">
        <f>+G184</f>
        <v>819212800</v>
      </c>
      <c r="V184" s="167">
        <v>819212800</v>
      </c>
      <c r="W184" s="168" t="s">
        <v>43</v>
      </c>
      <c r="X184" s="168" t="s">
        <v>46</v>
      </c>
      <c r="Y184" s="174" t="s">
        <v>447</v>
      </c>
      <c r="Z184" s="174" t="s">
        <v>49</v>
      </c>
      <c r="AA184" s="176" t="s">
        <v>326</v>
      </c>
      <c r="AB184" s="174" t="s">
        <v>397</v>
      </c>
      <c r="AC184" s="180" t="s">
        <v>392</v>
      </c>
      <c r="AD184" s="181" t="s">
        <v>43</v>
      </c>
      <c r="AE184" s="181" t="s">
        <v>47</v>
      </c>
      <c r="AF184" s="165" t="s">
        <v>298</v>
      </c>
      <c r="AG184" s="165" t="s">
        <v>327</v>
      </c>
      <c r="AH184" s="165" t="s">
        <v>74</v>
      </c>
      <c r="AI184" s="165" t="s">
        <v>72</v>
      </c>
      <c r="AJ184" s="165" t="s">
        <v>75</v>
      </c>
      <c r="AK184" s="165" t="s">
        <v>76</v>
      </c>
    </row>
    <row r="185" spans="1:37" s="137" customFormat="1" ht="54.75" hidden="1" customHeight="1">
      <c r="A185" s="131">
        <v>43102</v>
      </c>
      <c r="B185" s="133" t="str">
        <f>IFERROR(VLOOKUP(A185,[16]Listas!$A$91:$B$107,2,FALSE),"")</f>
        <v>MEJORAMIENTO DE LA INFRAESTRUCTURA TECNOLÓGICA</v>
      </c>
      <c r="C185" s="133" t="s">
        <v>332</v>
      </c>
      <c r="D185" s="132" t="s">
        <v>324</v>
      </c>
      <c r="E185" s="132" t="s">
        <v>67</v>
      </c>
      <c r="F185" s="149" t="s">
        <v>333</v>
      </c>
      <c r="G185" s="134">
        <v>250026950</v>
      </c>
      <c r="H185" s="146" t="s">
        <v>155</v>
      </c>
      <c r="I185" s="136" t="str">
        <f>IFERROR(VLOOKUP(H185,[16]Listas!$B$124:$C$142,2,FALSE),"")</f>
        <v>Recursos del Balance - Propios</v>
      </c>
      <c r="J185" s="131">
        <v>6</v>
      </c>
      <c r="K185" s="131" t="s">
        <v>47</v>
      </c>
      <c r="L185" s="139"/>
      <c r="M185" s="140" t="str">
        <f>"INV-"&amp;A185&amp;"-"&amp;J185</f>
        <v>INV-43102-6</v>
      </c>
      <c r="N185" s="179">
        <v>81111501</v>
      </c>
      <c r="O185" s="148" t="s">
        <v>334</v>
      </c>
      <c r="P185" s="142" t="s">
        <v>55</v>
      </c>
      <c r="Q185" s="142" t="s">
        <v>55</v>
      </c>
      <c r="R185" s="131">
        <v>12</v>
      </c>
      <c r="S185" s="142" t="s">
        <v>45</v>
      </c>
      <c r="T185" s="172" t="s">
        <v>48</v>
      </c>
      <c r="U185" s="143">
        <f>+G185</f>
        <v>250026950</v>
      </c>
      <c r="V185" s="143">
        <v>250026950</v>
      </c>
      <c r="W185" s="142" t="s">
        <v>43</v>
      </c>
      <c r="X185" s="142" t="s">
        <v>46</v>
      </c>
      <c r="Y185" s="174" t="s">
        <v>447</v>
      </c>
      <c r="Z185" s="174" t="s">
        <v>49</v>
      </c>
      <c r="AA185" s="176" t="s">
        <v>326</v>
      </c>
      <c r="AB185" s="174" t="s">
        <v>397</v>
      </c>
      <c r="AC185" s="180" t="s">
        <v>392</v>
      </c>
      <c r="AD185" s="144" t="s">
        <v>43</v>
      </c>
      <c r="AE185" s="144" t="s">
        <v>47</v>
      </c>
      <c r="AF185" s="145" t="s">
        <v>298</v>
      </c>
      <c r="AG185" s="145" t="s">
        <v>327</v>
      </c>
      <c r="AH185" s="145" t="s">
        <v>74</v>
      </c>
      <c r="AI185" s="145" t="s">
        <v>72</v>
      </c>
      <c r="AJ185" s="145" t="s">
        <v>75</v>
      </c>
      <c r="AK185" s="145" t="s">
        <v>76</v>
      </c>
    </row>
    <row r="186" spans="1:37" s="137" customFormat="1" ht="82.5" hidden="1" customHeight="1">
      <c r="A186" s="131">
        <v>43102</v>
      </c>
      <c r="B186" s="133" t="str">
        <f>IFERROR(VLOOKUP(A186,[16]Listas!$A$91:$B$107,2,FALSE),"")</f>
        <v>MEJORAMIENTO DE LA INFRAESTRUCTURA TECNOLÓGICA</v>
      </c>
      <c r="C186" s="133" t="s">
        <v>332</v>
      </c>
      <c r="D186" s="132" t="s">
        <v>324</v>
      </c>
      <c r="E186" s="132" t="s">
        <v>67</v>
      </c>
      <c r="F186" s="149" t="s">
        <v>333</v>
      </c>
      <c r="G186" s="150">
        <v>200000000</v>
      </c>
      <c r="H186" s="146" t="s">
        <v>155</v>
      </c>
      <c r="I186" s="136" t="str">
        <f>IFERROR(VLOOKUP(H186,[16]Listas!$B$124:$C$142,2,FALSE),"")</f>
        <v>Recursos del Balance - Propios</v>
      </c>
      <c r="J186" s="131">
        <v>7</v>
      </c>
      <c r="K186" s="131" t="s">
        <v>47</v>
      </c>
      <c r="L186" s="131"/>
      <c r="M186" s="140" t="str">
        <f>"INV-"&amp;A186&amp;"-"&amp;J186</f>
        <v>INV-43102-7</v>
      </c>
      <c r="N186" s="179">
        <v>81111501</v>
      </c>
      <c r="O186" s="148" t="s">
        <v>449</v>
      </c>
      <c r="P186" s="142" t="s">
        <v>55</v>
      </c>
      <c r="Q186" s="142" t="s">
        <v>55</v>
      </c>
      <c r="R186" s="131">
        <v>7</v>
      </c>
      <c r="S186" s="142" t="s">
        <v>45</v>
      </c>
      <c r="T186" s="172" t="s">
        <v>48</v>
      </c>
      <c r="U186" s="150">
        <f>+G186</f>
        <v>200000000</v>
      </c>
      <c r="V186" s="150">
        <v>200000000</v>
      </c>
      <c r="W186" s="142" t="s">
        <v>43</v>
      </c>
      <c r="X186" s="142" t="s">
        <v>46</v>
      </c>
      <c r="Y186" s="151" t="s">
        <v>447</v>
      </c>
      <c r="Z186" s="151" t="s">
        <v>49</v>
      </c>
      <c r="AA186" s="152" t="s">
        <v>326</v>
      </c>
      <c r="AB186" s="151" t="s">
        <v>397</v>
      </c>
      <c r="AC186" s="153" t="s">
        <v>392</v>
      </c>
      <c r="AD186" s="144" t="s">
        <v>43</v>
      </c>
      <c r="AE186" s="144" t="s">
        <v>47</v>
      </c>
      <c r="AF186" s="145" t="s">
        <v>298</v>
      </c>
      <c r="AG186" s="145" t="s">
        <v>327</v>
      </c>
      <c r="AH186" s="145" t="s">
        <v>74</v>
      </c>
      <c r="AI186" s="145" t="s">
        <v>72</v>
      </c>
      <c r="AJ186" s="145" t="s">
        <v>75</v>
      </c>
      <c r="AK186" s="145" t="s">
        <v>76</v>
      </c>
    </row>
    <row r="187" spans="1:37" s="221" customFormat="1" ht="61.5" hidden="1" customHeight="1">
      <c r="A187" s="207">
        <v>42101</v>
      </c>
      <c r="B187" s="210" t="str">
        <f>IFERROR(VLOOKUP(A187,[17]Listas!$A$91:$B$107,2,FALSE),"")</f>
        <v>MOVILIDAD DOCENTE Y ESTUDIANTIL</v>
      </c>
      <c r="C187" s="211" t="s">
        <v>335</v>
      </c>
      <c r="D187" s="207" t="s">
        <v>336</v>
      </c>
      <c r="E187" s="211" t="s">
        <v>131</v>
      </c>
      <c r="F187" s="211" t="s">
        <v>337</v>
      </c>
      <c r="G187" s="239">
        <f>84000000-2590784</f>
        <v>81409216</v>
      </c>
      <c r="H187" s="207" t="s">
        <v>42</v>
      </c>
      <c r="I187" s="210" t="str">
        <f>IFERROR(VLOOKUP(H187,[17]Listas!$B$126:$C$144,2,FALSE),"")</f>
        <v>Aportes de la Nacion - Inversion</v>
      </c>
      <c r="J187" s="207">
        <v>1</v>
      </c>
      <c r="K187" s="207" t="s">
        <v>43</v>
      </c>
      <c r="L187" s="207"/>
      <c r="M187" s="212" t="str">
        <f>"INV-"&amp;A187&amp;"-"&amp;J187</f>
        <v>INV-42101-1</v>
      </c>
      <c r="N187" s="207" t="s">
        <v>70</v>
      </c>
      <c r="O187" s="211" t="s">
        <v>338</v>
      </c>
      <c r="P187" s="213" t="s">
        <v>46</v>
      </c>
      <c r="Q187" s="213" t="s">
        <v>46</v>
      </c>
      <c r="R187" s="213" t="s">
        <v>46</v>
      </c>
      <c r="S187" s="213" t="s">
        <v>46</v>
      </c>
      <c r="T187" s="213" t="s">
        <v>46</v>
      </c>
      <c r="U187" s="207">
        <f>G187</f>
        <v>81409216</v>
      </c>
      <c r="V187" s="207">
        <f t="shared" ref="V187:V204" si="27">G187</f>
        <v>81409216</v>
      </c>
      <c r="W187" s="208" t="s">
        <v>43</v>
      </c>
      <c r="X187" s="208" t="s">
        <v>46</v>
      </c>
      <c r="Y187" s="214" t="s">
        <v>516</v>
      </c>
      <c r="Z187" s="215" t="s">
        <v>49</v>
      </c>
      <c r="AA187" s="216" t="s">
        <v>336</v>
      </c>
      <c r="AB187" s="217" t="s">
        <v>101</v>
      </c>
      <c r="AC187" s="218" t="s">
        <v>50</v>
      </c>
      <c r="AD187" s="219" t="s">
        <v>43</v>
      </c>
      <c r="AE187" s="219" t="s">
        <v>43</v>
      </c>
      <c r="AF187" s="220" t="s">
        <v>72</v>
      </c>
      <c r="AG187" s="220" t="s">
        <v>73</v>
      </c>
      <c r="AH187" s="220" t="s">
        <v>74</v>
      </c>
      <c r="AI187" s="220" t="s">
        <v>72</v>
      </c>
      <c r="AJ187" s="220" t="s">
        <v>75</v>
      </c>
      <c r="AK187" s="220" t="s">
        <v>76</v>
      </c>
    </row>
    <row r="188" spans="1:37" s="221" customFormat="1" ht="78.75" hidden="1">
      <c r="A188" s="207">
        <v>42101</v>
      </c>
      <c r="B188" s="210" t="str">
        <f>IFERROR(VLOOKUP(A188,[17]Listas!$A$91:$B$107,2,FALSE),"")</f>
        <v>MOVILIDAD DOCENTE Y ESTUDIANTIL</v>
      </c>
      <c r="C188" s="211" t="s">
        <v>335</v>
      </c>
      <c r="D188" s="207" t="s">
        <v>336</v>
      </c>
      <c r="E188" s="211" t="s">
        <v>67</v>
      </c>
      <c r="F188" s="211" t="s">
        <v>339</v>
      </c>
      <c r="G188" s="222">
        <v>300000000</v>
      </c>
      <c r="H188" s="221" t="s">
        <v>42</v>
      </c>
      <c r="I188" s="210" t="str">
        <f>IFERROR(VLOOKUP(H189,[17]Listas!$B$126:$C$144,2,FALSE),"")</f>
        <v>Aportes de la Nacion - Inversion</v>
      </c>
      <c r="J188" s="207">
        <v>2</v>
      </c>
      <c r="K188" s="207" t="s">
        <v>43</v>
      </c>
      <c r="L188" s="207"/>
      <c r="M188" s="212" t="str">
        <f t="shared" ref="M188:M204" si="28">"INV-"&amp;A188&amp;"-"&amp;J188</f>
        <v>INV-42101-2</v>
      </c>
      <c r="N188" s="207" t="s">
        <v>70</v>
      </c>
      <c r="O188" s="211" t="s">
        <v>340</v>
      </c>
      <c r="P188" s="213" t="s">
        <v>46</v>
      </c>
      <c r="Q188" s="213" t="s">
        <v>46</v>
      </c>
      <c r="R188" s="213" t="s">
        <v>46</v>
      </c>
      <c r="S188" s="213" t="s">
        <v>46</v>
      </c>
      <c r="T188" s="213" t="s">
        <v>46</v>
      </c>
      <c r="U188" s="207">
        <f>G188</f>
        <v>300000000</v>
      </c>
      <c r="V188" s="207">
        <f t="shared" si="27"/>
        <v>300000000</v>
      </c>
      <c r="W188" s="208" t="s">
        <v>43</v>
      </c>
      <c r="X188" s="208" t="s">
        <v>46</v>
      </c>
      <c r="Y188" s="214" t="s">
        <v>516</v>
      </c>
      <c r="Z188" s="215" t="s">
        <v>49</v>
      </c>
      <c r="AA188" s="216" t="s">
        <v>336</v>
      </c>
      <c r="AB188" s="217" t="s">
        <v>101</v>
      </c>
      <c r="AC188" s="218" t="s">
        <v>50</v>
      </c>
      <c r="AD188" s="219" t="s">
        <v>43</v>
      </c>
      <c r="AE188" s="219" t="s">
        <v>43</v>
      </c>
      <c r="AF188" s="220" t="s">
        <v>72</v>
      </c>
      <c r="AG188" s="220" t="s">
        <v>73</v>
      </c>
      <c r="AH188" s="220" t="s">
        <v>74</v>
      </c>
      <c r="AI188" s="220" t="s">
        <v>72</v>
      </c>
      <c r="AJ188" s="220" t="s">
        <v>75</v>
      </c>
      <c r="AK188" s="220" t="s">
        <v>76</v>
      </c>
    </row>
    <row r="189" spans="1:37" s="221" customFormat="1" ht="67.5" hidden="1">
      <c r="A189" s="207">
        <v>42101</v>
      </c>
      <c r="B189" s="210" t="str">
        <f>IFERROR(VLOOKUP(A189,[17]Listas!$A$91:$B$107,2,FALSE),"")</f>
        <v>MOVILIDAD DOCENTE Y ESTUDIANTIL</v>
      </c>
      <c r="C189" s="211" t="s">
        <v>335</v>
      </c>
      <c r="D189" s="207" t="s">
        <v>336</v>
      </c>
      <c r="E189" s="211" t="s">
        <v>67</v>
      </c>
      <c r="F189" s="211" t="s">
        <v>339</v>
      </c>
      <c r="G189" s="222">
        <v>80000000</v>
      </c>
      <c r="H189" s="207" t="s">
        <v>42</v>
      </c>
      <c r="I189" s="210" t="str">
        <f>IFERROR(VLOOKUP(H190,[17]Listas!$B$126:$C$144,2,FALSE),"")</f>
        <v>Aportes de la Nacion - Inversion</v>
      </c>
      <c r="J189" s="207">
        <v>3</v>
      </c>
      <c r="K189" s="207" t="s">
        <v>47</v>
      </c>
      <c r="L189" s="207"/>
      <c r="M189" s="212" t="str">
        <f t="shared" si="28"/>
        <v>INV-42101-3</v>
      </c>
      <c r="N189" s="211" t="s">
        <v>517</v>
      </c>
      <c r="O189" s="211" t="s">
        <v>341</v>
      </c>
      <c r="P189" s="208" t="s">
        <v>55</v>
      </c>
      <c r="Q189" s="208" t="s">
        <v>55</v>
      </c>
      <c r="R189" s="208">
        <v>11</v>
      </c>
      <c r="S189" s="208" t="s">
        <v>45</v>
      </c>
      <c r="T189" s="208" t="s">
        <v>48</v>
      </c>
      <c r="U189" s="207">
        <f>+G189</f>
        <v>80000000</v>
      </c>
      <c r="V189" s="207">
        <f t="shared" si="27"/>
        <v>80000000</v>
      </c>
      <c r="W189" s="208" t="s">
        <v>43</v>
      </c>
      <c r="X189" s="208" t="s">
        <v>46</v>
      </c>
      <c r="Y189" s="223" t="s">
        <v>516</v>
      </c>
      <c r="Z189" s="224" t="s">
        <v>49</v>
      </c>
      <c r="AA189" s="225" t="s">
        <v>336</v>
      </c>
      <c r="AB189" s="226" t="s">
        <v>101</v>
      </c>
      <c r="AC189" s="227" t="s">
        <v>50</v>
      </c>
      <c r="AD189" s="213" t="s">
        <v>43</v>
      </c>
      <c r="AE189" s="213" t="s">
        <v>47</v>
      </c>
      <c r="AF189" s="228" t="s">
        <v>72</v>
      </c>
      <c r="AG189" s="229" t="s">
        <v>73</v>
      </c>
      <c r="AH189" s="229" t="s">
        <v>74</v>
      </c>
      <c r="AI189" s="229" t="s">
        <v>72</v>
      </c>
      <c r="AJ189" s="229" t="s">
        <v>75</v>
      </c>
      <c r="AK189" s="229" t="s">
        <v>76</v>
      </c>
    </row>
    <row r="190" spans="1:37" s="221" customFormat="1" ht="56.25" hidden="1">
      <c r="A190" s="207">
        <v>42101</v>
      </c>
      <c r="B190" s="210" t="str">
        <f>IFERROR(VLOOKUP(A190,[17]Listas!$A$91:$B$107,2,FALSE),"")</f>
        <v>MOVILIDAD DOCENTE Y ESTUDIANTIL</v>
      </c>
      <c r="C190" s="211" t="s">
        <v>335</v>
      </c>
      <c r="D190" s="207" t="s">
        <v>336</v>
      </c>
      <c r="E190" s="185" t="s">
        <v>67</v>
      </c>
      <c r="F190" s="230" t="s">
        <v>110</v>
      </c>
      <c r="G190" s="222">
        <v>2160900</v>
      </c>
      <c r="H190" s="207" t="s">
        <v>42</v>
      </c>
      <c r="I190" s="210" t="str">
        <f>IFERROR(VLOOKUP(H190,[17]Listas!$B$126:$C$144,2,FALSE),"")</f>
        <v>Aportes de la Nacion - Inversion</v>
      </c>
      <c r="J190" s="207">
        <v>4</v>
      </c>
      <c r="K190" s="207" t="s">
        <v>43</v>
      </c>
      <c r="L190" s="207"/>
      <c r="M190" s="212" t="str">
        <f t="shared" si="28"/>
        <v>INV-42101-4</v>
      </c>
      <c r="N190" s="207" t="s">
        <v>70</v>
      </c>
      <c r="O190" s="211" t="s">
        <v>342</v>
      </c>
      <c r="P190" s="213" t="s">
        <v>46</v>
      </c>
      <c r="Q190" s="213" t="s">
        <v>46</v>
      </c>
      <c r="R190" s="213" t="s">
        <v>46</v>
      </c>
      <c r="S190" s="213" t="s">
        <v>46</v>
      </c>
      <c r="T190" s="213" t="s">
        <v>46</v>
      </c>
      <c r="U190" s="207">
        <f t="shared" ref="U190:U197" si="29">G190</f>
        <v>2160900</v>
      </c>
      <c r="V190" s="207">
        <f t="shared" si="27"/>
        <v>2160900</v>
      </c>
      <c r="W190" s="208" t="s">
        <v>43</v>
      </c>
      <c r="X190" s="208" t="s">
        <v>46</v>
      </c>
      <c r="Y190" s="214" t="s">
        <v>516</v>
      </c>
      <c r="Z190" s="215" t="s">
        <v>49</v>
      </c>
      <c r="AA190" s="216" t="s">
        <v>336</v>
      </c>
      <c r="AB190" s="217" t="s">
        <v>101</v>
      </c>
      <c r="AC190" s="218" t="s">
        <v>50</v>
      </c>
      <c r="AD190" s="219" t="s">
        <v>43</v>
      </c>
      <c r="AE190" s="219" t="s">
        <v>43</v>
      </c>
      <c r="AF190" s="220" t="s">
        <v>72</v>
      </c>
      <c r="AG190" s="220" t="s">
        <v>73</v>
      </c>
      <c r="AH190" s="220" t="s">
        <v>74</v>
      </c>
      <c r="AI190" s="220" t="s">
        <v>72</v>
      </c>
      <c r="AJ190" s="220" t="s">
        <v>75</v>
      </c>
      <c r="AK190" s="220" t="s">
        <v>76</v>
      </c>
    </row>
    <row r="191" spans="1:37" s="221" customFormat="1" ht="33.75" hidden="1">
      <c r="A191" s="207">
        <v>42101</v>
      </c>
      <c r="B191" s="211" t="str">
        <f>IFERROR(VLOOKUP(A191,[17]Listas!$A$91:$B$107,2,FALSE),"")</f>
        <v>MOVILIDAD DOCENTE Y ESTUDIANTIL</v>
      </c>
      <c r="C191" s="211" t="s">
        <v>335</v>
      </c>
      <c r="D191" s="207" t="s">
        <v>336</v>
      </c>
      <c r="E191" s="185" t="s">
        <v>67</v>
      </c>
      <c r="F191" s="230" t="s">
        <v>110</v>
      </c>
      <c r="G191" s="239">
        <f>21921900+2590784</f>
        <v>24512684</v>
      </c>
      <c r="H191" s="207" t="s">
        <v>42</v>
      </c>
      <c r="I191" s="211" t="str">
        <f>IFERROR(VLOOKUP(H191,[17]Listas!$B$126:$C$144,2,FALSE),"")</f>
        <v>Aportes de la Nacion - Inversion</v>
      </c>
      <c r="J191" s="207">
        <v>5</v>
      </c>
      <c r="K191" s="207" t="s">
        <v>43</v>
      </c>
      <c r="L191" s="207"/>
      <c r="M191" s="231" t="str">
        <f t="shared" si="28"/>
        <v>INV-42101-5</v>
      </c>
      <c r="N191" s="207" t="s">
        <v>70</v>
      </c>
      <c r="O191" s="211" t="s">
        <v>343</v>
      </c>
      <c r="P191" s="213" t="s">
        <v>46</v>
      </c>
      <c r="Q191" s="213" t="s">
        <v>46</v>
      </c>
      <c r="R191" s="213" t="s">
        <v>46</v>
      </c>
      <c r="S191" s="213" t="s">
        <v>46</v>
      </c>
      <c r="T191" s="213" t="s">
        <v>46</v>
      </c>
      <c r="U191" s="207">
        <f t="shared" si="29"/>
        <v>24512684</v>
      </c>
      <c r="V191" s="207">
        <f t="shared" si="27"/>
        <v>24512684</v>
      </c>
      <c r="W191" s="208" t="s">
        <v>43</v>
      </c>
      <c r="X191" s="208" t="s">
        <v>46</v>
      </c>
      <c r="Y191" s="214" t="s">
        <v>516</v>
      </c>
      <c r="Z191" s="215" t="s">
        <v>49</v>
      </c>
      <c r="AA191" s="216" t="s">
        <v>336</v>
      </c>
      <c r="AB191" s="217" t="s">
        <v>101</v>
      </c>
      <c r="AC191" s="218" t="s">
        <v>50</v>
      </c>
      <c r="AD191" s="219" t="s">
        <v>43</v>
      </c>
      <c r="AE191" s="219" t="s">
        <v>43</v>
      </c>
      <c r="AF191" s="220" t="s">
        <v>72</v>
      </c>
      <c r="AG191" s="220" t="s">
        <v>73</v>
      </c>
      <c r="AH191" s="220" t="s">
        <v>74</v>
      </c>
      <c r="AI191" s="220" t="s">
        <v>72</v>
      </c>
      <c r="AJ191" s="220" t="s">
        <v>75</v>
      </c>
      <c r="AK191" s="220" t="s">
        <v>76</v>
      </c>
    </row>
    <row r="192" spans="1:37" s="221" customFormat="1" ht="36" hidden="1" customHeight="1">
      <c r="A192" s="207">
        <v>42101</v>
      </c>
      <c r="B192" s="211" t="str">
        <f>IFERROR(VLOOKUP(A192,[17]Listas!$A$91:$B$107,2,FALSE),"")</f>
        <v>MOVILIDAD DOCENTE Y ESTUDIANTIL</v>
      </c>
      <c r="C192" s="211" t="s">
        <v>335</v>
      </c>
      <c r="D192" s="207" t="s">
        <v>336</v>
      </c>
      <c r="E192" s="232" t="s">
        <v>344</v>
      </c>
      <c r="F192" s="233" t="s">
        <v>345</v>
      </c>
      <c r="G192" s="222">
        <v>206692200</v>
      </c>
      <c r="H192" s="207" t="s">
        <v>42</v>
      </c>
      <c r="I192" s="211" t="str">
        <f>IFERROR(VLOOKUP(H192,[17]Listas!$B$126:$C$144,2,FALSE),"")</f>
        <v>Aportes de la Nacion - Inversion</v>
      </c>
      <c r="J192" s="207">
        <v>6</v>
      </c>
      <c r="K192" s="207" t="s">
        <v>43</v>
      </c>
      <c r="L192" s="207"/>
      <c r="M192" s="231" t="str">
        <f t="shared" si="28"/>
        <v>INV-42101-6</v>
      </c>
      <c r="N192" s="207" t="s">
        <v>70</v>
      </c>
      <c r="O192" s="211" t="s">
        <v>346</v>
      </c>
      <c r="P192" s="213" t="s">
        <v>46</v>
      </c>
      <c r="Q192" s="213" t="s">
        <v>46</v>
      </c>
      <c r="R192" s="213" t="s">
        <v>46</v>
      </c>
      <c r="S192" s="213" t="s">
        <v>46</v>
      </c>
      <c r="T192" s="213" t="s">
        <v>46</v>
      </c>
      <c r="U192" s="207">
        <f t="shared" si="29"/>
        <v>206692200</v>
      </c>
      <c r="V192" s="207">
        <f t="shared" si="27"/>
        <v>206692200</v>
      </c>
      <c r="W192" s="208" t="s">
        <v>43</v>
      </c>
      <c r="X192" s="208" t="s">
        <v>46</v>
      </c>
      <c r="Y192" s="214" t="s">
        <v>516</v>
      </c>
      <c r="Z192" s="215" t="s">
        <v>49</v>
      </c>
      <c r="AA192" s="216" t="s">
        <v>336</v>
      </c>
      <c r="AB192" s="217" t="s">
        <v>101</v>
      </c>
      <c r="AC192" s="218" t="s">
        <v>50</v>
      </c>
      <c r="AD192" s="219" t="s">
        <v>43</v>
      </c>
      <c r="AE192" s="219" t="s">
        <v>43</v>
      </c>
      <c r="AF192" s="220" t="s">
        <v>72</v>
      </c>
      <c r="AG192" s="220" t="s">
        <v>73</v>
      </c>
      <c r="AH192" s="220" t="s">
        <v>74</v>
      </c>
      <c r="AI192" s="220" t="s">
        <v>72</v>
      </c>
      <c r="AJ192" s="220" t="s">
        <v>75</v>
      </c>
      <c r="AK192" s="220" t="s">
        <v>76</v>
      </c>
    </row>
    <row r="193" spans="1:37" s="221" customFormat="1" ht="45" hidden="1">
      <c r="A193" s="207">
        <v>42101</v>
      </c>
      <c r="B193" s="211" t="str">
        <f>IFERROR(VLOOKUP(A193,[17]Listas!$A$91:$B$107,2,FALSE),"")</f>
        <v>MOVILIDAD DOCENTE Y ESTUDIANTIL</v>
      </c>
      <c r="C193" s="211" t="s">
        <v>335</v>
      </c>
      <c r="D193" s="207" t="s">
        <v>336</v>
      </c>
      <c r="E193" s="232" t="s">
        <v>344</v>
      </c>
      <c r="F193" s="233" t="s">
        <v>345</v>
      </c>
      <c r="G193" s="222">
        <v>5225000</v>
      </c>
      <c r="H193" s="207" t="s">
        <v>42</v>
      </c>
      <c r="I193" s="211" t="str">
        <f>IFERROR(VLOOKUP(H193,[17]Listas!$B$126:$C$144,2,FALSE),"")</f>
        <v>Aportes de la Nacion - Inversion</v>
      </c>
      <c r="J193" s="207">
        <v>7</v>
      </c>
      <c r="K193" s="207" t="s">
        <v>43</v>
      </c>
      <c r="L193" s="207"/>
      <c r="M193" s="231" t="str">
        <f t="shared" si="28"/>
        <v>INV-42101-7</v>
      </c>
      <c r="N193" s="207" t="s">
        <v>70</v>
      </c>
      <c r="O193" s="211" t="s">
        <v>347</v>
      </c>
      <c r="P193" s="213" t="s">
        <v>46</v>
      </c>
      <c r="Q193" s="213" t="s">
        <v>46</v>
      </c>
      <c r="R193" s="213" t="s">
        <v>46</v>
      </c>
      <c r="S193" s="213" t="s">
        <v>46</v>
      </c>
      <c r="T193" s="213" t="s">
        <v>46</v>
      </c>
      <c r="U193" s="207">
        <f t="shared" si="29"/>
        <v>5225000</v>
      </c>
      <c r="V193" s="207">
        <f t="shared" si="27"/>
        <v>5225000</v>
      </c>
      <c r="W193" s="208" t="s">
        <v>43</v>
      </c>
      <c r="X193" s="208" t="s">
        <v>46</v>
      </c>
      <c r="Y193" s="214" t="s">
        <v>516</v>
      </c>
      <c r="Z193" s="215" t="s">
        <v>49</v>
      </c>
      <c r="AA193" s="216" t="s">
        <v>336</v>
      </c>
      <c r="AB193" s="217" t="s">
        <v>101</v>
      </c>
      <c r="AC193" s="218" t="s">
        <v>50</v>
      </c>
      <c r="AD193" s="219" t="s">
        <v>43</v>
      </c>
      <c r="AE193" s="219" t="s">
        <v>43</v>
      </c>
      <c r="AF193" s="220" t="s">
        <v>72</v>
      </c>
      <c r="AG193" s="220" t="s">
        <v>73</v>
      </c>
      <c r="AH193" s="220" t="s">
        <v>74</v>
      </c>
      <c r="AI193" s="220" t="s">
        <v>72</v>
      </c>
      <c r="AJ193" s="220" t="s">
        <v>75</v>
      </c>
      <c r="AK193" s="220" t="s">
        <v>76</v>
      </c>
    </row>
    <row r="194" spans="1:37" s="221" customFormat="1" ht="67.5" hidden="1">
      <c r="A194" s="207">
        <v>42101</v>
      </c>
      <c r="B194" s="211" t="str">
        <f>IFERROR(VLOOKUP(A194,[17]Listas!$A$91:$B$107,2,FALSE),"")</f>
        <v>MOVILIDAD DOCENTE Y ESTUDIANTIL</v>
      </c>
      <c r="C194" s="211" t="s">
        <v>335</v>
      </c>
      <c r="D194" s="207" t="s">
        <v>336</v>
      </c>
      <c r="E194" s="234" t="s">
        <v>67</v>
      </c>
      <c r="F194" s="235" t="s">
        <v>348</v>
      </c>
      <c r="G194" s="239">
        <f>15800000+18000000</f>
        <v>33800000</v>
      </c>
      <c r="H194" s="207" t="s">
        <v>83</v>
      </c>
      <c r="I194" s="211" t="str">
        <f>IFERROR(VLOOKUP(H194,[17]Listas!$B$126:$C$144,2,FALSE),"")</f>
        <v>Recursos Propios - Aportes de Otras Entidades</v>
      </c>
      <c r="J194" s="207">
        <v>8</v>
      </c>
      <c r="K194" s="207" t="s">
        <v>43</v>
      </c>
      <c r="L194" s="207"/>
      <c r="M194" s="231" t="str">
        <f t="shared" si="28"/>
        <v>INV-42101-8</v>
      </c>
      <c r="N194" s="207" t="s">
        <v>70</v>
      </c>
      <c r="O194" s="211" t="s">
        <v>349</v>
      </c>
      <c r="P194" s="213" t="s">
        <v>46</v>
      </c>
      <c r="Q194" s="213" t="s">
        <v>46</v>
      </c>
      <c r="R194" s="213" t="s">
        <v>46</v>
      </c>
      <c r="S194" s="213" t="s">
        <v>46</v>
      </c>
      <c r="T194" s="213" t="s">
        <v>46</v>
      </c>
      <c r="U194" s="207">
        <f t="shared" si="29"/>
        <v>33800000</v>
      </c>
      <c r="V194" s="207">
        <f t="shared" si="27"/>
        <v>33800000</v>
      </c>
      <c r="W194" s="208" t="s">
        <v>43</v>
      </c>
      <c r="X194" s="208" t="s">
        <v>46</v>
      </c>
      <c r="Y194" s="214" t="s">
        <v>516</v>
      </c>
      <c r="Z194" s="215" t="s">
        <v>49</v>
      </c>
      <c r="AA194" s="216" t="s">
        <v>336</v>
      </c>
      <c r="AB194" s="217" t="s">
        <v>101</v>
      </c>
      <c r="AC194" s="218" t="s">
        <v>50</v>
      </c>
      <c r="AD194" s="219" t="s">
        <v>43</v>
      </c>
      <c r="AE194" s="219" t="s">
        <v>43</v>
      </c>
      <c r="AF194" s="220" t="s">
        <v>72</v>
      </c>
      <c r="AG194" s="220" t="s">
        <v>73</v>
      </c>
      <c r="AH194" s="220" t="s">
        <v>74</v>
      </c>
      <c r="AI194" s="220" t="s">
        <v>72</v>
      </c>
      <c r="AJ194" s="220" t="s">
        <v>75</v>
      </c>
      <c r="AK194" s="220" t="s">
        <v>76</v>
      </c>
    </row>
    <row r="195" spans="1:37" s="221" customFormat="1" ht="45" hidden="1">
      <c r="A195" s="207">
        <v>42101</v>
      </c>
      <c r="B195" s="211" t="str">
        <f>IFERROR(VLOOKUP(A195,[17]Listas!$A$91:$B$107,2,FALSE),"")</f>
        <v>MOVILIDAD DOCENTE Y ESTUDIANTIL</v>
      </c>
      <c r="C195" s="211" t="s">
        <v>335</v>
      </c>
      <c r="D195" s="207" t="s">
        <v>336</v>
      </c>
      <c r="E195" s="234" t="s">
        <v>67</v>
      </c>
      <c r="F195" s="235" t="s">
        <v>345</v>
      </c>
      <c r="G195" s="239">
        <f>16000000+2000000</f>
        <v>18000000</v>
      </c>
      <c r="H195" s="207" t="s">
        <v>83</v>
      </c>
      <c r="I195" s="211" t="str">
        <f>IFERROR(VLOOKUP(H195,[17]Listas!$B$126:$C$144,2,FALSE),"")</f>
        <v>Recursos Propios - Aportes de Otras Entidades</v>
      </c>
      <c r="J195" s="207">
        <v>9</v>
      </c>
      <c r="K195" s="207" t="s">
        <v>43</v>
      </c>
      <c r="L195" s="207"/>
      <c r="M195" s="231" t="str">
        <f t="shared" si="28"/>
        <v>INV-42101-9</v>
      </c>
      <c r="N195" s="207" t="s">
        <v>70</v>
      </c>
      <c r="O195" s="211" t="s">
        <v>350</v>
      </c>
      <c r="P195" s="213" t="s">
        <v>46</v>
      </c>
      <c r="Q195" s="213" t="s">
        <v>46</v>
      </c>
      <c r="R195" s="213" t="s">
        <v>46</v>
      </c>
      <c r="S195" s="213" t="s">
        <v>46</v>
      </c>
      <c r="T195" s="213" t="s">
        <v>46</v>
      </c>
      <c r="U195" s="207">
        <f t="shared" si="29"/>
        <v>18000000</v>
      </c>
      <c r="V195" s="207">
        <f t="shared" si="27"/>
        <v>18000000</v>
      </c>
      <c r="W195" s="208" t="s">
        <v>43</v>
      </c>
      <c r="X195" s="208" t="s">
        <v>46</v>
      </c>
      <c r="Y195" s="214" t="s">
        <v>516</v>
      </c>
      <c r="Z195" s="215" t="s">
        <v>49</v>
      </c>
      <c r="AA195" s="216" t="s">
        <v>336</v>
      </c>
      <c r="AB195" s="217" t="s">
        <v>101</v>
      </c>
      <c r="AC195" s="218" t="s">
        <v>50</v>
      </c>
      <c r="AD195" s="219" t="s">
        <v>43</v>
      </c>
      <c r="AE195" s="219" t="s">
        <v>43</v>
      </c>
      <c r="AF195" s="220" t="s">
        <v>72</v>
      </c>
      <c r="AG195" s="220" t="s">
        <v>73</v>
      </c>
      <c r="AH195" s="220" t="s">
        <v>74</v>
      </c>
      <c r="AI195" s="220" t="s">
        <v>72</v>
      </c>
      <c r="AJ195" s="220" t="s">
        <v>75</v>
      </c>
      <c r="AK195" s="220" t="s">
        <v>76</v>
      </c>
    </row>
    <row r="196" spans="1:37" s="221" customFormat="1" ht="33.75" hidden="1">
      <c r="A196" s="207">
        <v>42101</v>
      </c>
      <c r="B196" s="211" t="str">
        <f>IFERROR(VLOOKUP(A196,[17]Listas!$A$91:$B$107,2,FALSE),"")</f>
        <v>MOVILIDAD DOCENTE Y ESTUDIANTIL</v>
      </c>
      <c r="C196" s="211" t="s">
        <v>335</v>
      </c>
      <c r="D196" s="207" t="s">
        <v>336</v>
      </c>
      <c r="E196" s="234" t="s">
        <v>67</v>
      </c>
      <c r="F196" s="235" t="s">
        <v>345</v>
      </c>
      <c r="G196" s="222">
        <v>90000000</v>
      </c>
      <c r="H196" s="207" t="s">
        <v>83</v>
      </c>
      <c r="I196" s="211" t="str">
        <f>IFERROR(VLOOKUP(H196,[17]Listas!$B$126:$C$144,2,FALSE),"")</f>
        <v>Recursos Propios - Aportes de Otras Entidades</v>
      </c>
      <c r="J196" s="207">
        <v>10</v>
      </c>
      <c r="K196" s="207" t="s">
        <v>43</v>
      </c>
      <c r="L196" s="207"/>
      <c r="M196" s="231" t="str">
        <f t="shared" si="28"/>
        <v>INV-42101-10</v>
      </c>
      <c r="N196" s="207" t="s">
        <v>70</v>
      </c>
      <c r="O196" s="211" t="s">
        <v>351</v>
      </c>
      <c r="P196" s="213" t="s">
        <v>46</v>
      </c>
      <c r="Q196" s="213" t="s">
        <v>46</v>
      </c>
      <c r="R196" s="213" t="s">
        <v>46</v>
      </c>
      <c r="S196" s="213" t="s">
        <v>46</v>
      </c>
      <c r="T196" s="213" t="s">
        <v>46</v>
      </c>
      <c r="U196" s="207">
        <f t="shared" si="29"/>
        <v>90000000</v>
      </c>
      <c r="V196" s="207">
        <f t="shared" si="27"/>
        <v>90000000</v>
      </c>
      <c r="W196" s="208" t="s">
        <v>43</v>
      </c>
      <c r="X196" s="208" t="s">
        <v>46</v>
      </c>
      <c r="Y196" s="214" t="s">
        <v>516</v>
      </c>
      <c r="Z196" s="215" t="s">
        <v>49</v>
      </c>
      <c r="AA196" s="216" t="s">
        <v>336</v>
      </c>
      <c r="AB196" s="217" t="s">
        <v>101</v>
      </c>
      <c r="AC196" s="218" t="s">
        <v>50</v>
      </c>
      <c r="AD196" s="219" t="s">
        <v>43</v>
      </c>
      <c r="AE196" s="219" t="s">
        <v>43</v>
      </c>
      <c r="AF196" s="220" t="s">
        <v>72</v>
      </c>
      <c r="AG196" s="220" t="s">
        <v>73</v>
      </c>
      <c r="AH196" s="220" t="s">
        <v>74</v>
      </c>
      <c r="AI196" s="220" t="s">
        <v>72</v>
      </c>
      <c r="AJ196" s="220" t="s">
        <v>75</v>
      </c>
      <c r="AK196" s="220" t="s">
        <v>76</v>
      </c>
    </row>
    <row r="197" spans="1:37" s="221" customFormat="1" ht="67.5" hidden="1">
      <c r="A197" s="207">
        <v>42101</v>
      </c>
      <c r="B197" s="211" t="str">
        <f>IFERROR(VLOOKUP(A197,[17]Listas!$A$91:$B$107,2,FALSE),"")</f>
        <v>MOVILIDAD DOCENTE Y ESTUDIANTIL</v>
      </c>
      <c r="C197" s="211" t="s">
        <v>335</v>
      </c>
      <c r="D197" s="207" t="s">
        <v>336</v>
      </c>
      <c r="E197" s="234" t="s">
        <v>67</v>
      </c>
      <c r="F197" s="235" t="s">
        <v>348</v>
      </c>
      <c r="G197" s="222">
        <v>20000000</v>
      </c>
      <c r="H197" s="207" t="s">
        <v>83</v>
      </c>
      <c r="I197" s="211" t="str">
        <f>IFERROR(VLOOKUP(H197,[17]Listas!$B$126:$C$144,2,FALSE),"")</f>
        <v>Recursos Propios - Aportes de Otras Entidades</v>
      </c>
      <c r="J197" s="207">
        <v>11</v>
      </c>
      <c r="K197" s="207" t="s">
        <v>43</v>
      </c>
      <c r="L197" s="207"/>
      <c r="M197" s="231" t="str">
        <f t="shared" si="28"/>
        <v>INV-42101-11</v>
      </c>
      <c r="N197" s="207" t="s">
        <v>70</v>
      </c>
      <c r="O197" s="211" t="s">
        <v>352</v>
      </c>
      <c r="P197" s="213" t="s">
        <v>46</v>
      </c>
      <c r="Q197" s="213" t="s">
        <v>46</v>
      </c>
      <c r="R197" s="213" t="s">
        <v>46</v>
      </c>
      <c r="S197" s="213" t="s">
        <v>46</v>
      </c>
      <c r="T197" s="213" t="s">
        <v>46</v>
      </c>
      <c r="U197" s="207">
        <f t="shared" si="29"/>
        <v>20000000</v>
      </c>
      <c r="V197" s="207">
        <f t="shared" si="27"/>
        <v>20000000</v>
      </c>
      <c r="W197" s="208" t="s">
        <v>43</v>
      </c>
      <c r="X197" s="208" t="s">
        <v>46</v>
      </c>
      <c r="Y197" s="214" t="s">
        <v>516</v>
      </c>
      <c r="Z197" s="215" t="s">
        <v>49</v>
      </c>
      <c r="AA197" s="216" t="s">
        <v>336</v>
      </c>
      <c r="AB197" s="217" t="s">
        <v>101</v>
      </c>
      <c r="AC197" s="218" t="s">
        <v>50</v>
      </c>
      <c r="AD197" s="219" t="s">
        <v>43</v>
      </c>
      <c r="AE197" s="219" t="s">
        <v>43</v>
      </c>
      <c r="AF197" s="220" t="s">
        <v>72</v>
      </c>
      <c r="AG197" s="220" t="s">
        <v>73</v>
      </c>
      <c r="AH197" s="220" t="s">
        <v>74</v>
      </c>
      <c r="AI197" s="220" t="s">
        <v>72</v>
      </c>
      <c r="AJ197" s="220" t="s">
        <v>75</v>
      </c>
      <c r="AK197" s="220" t="s">
        <v>76</v>
      </c>
    </row>
    <row r="198" spans="1:37" s="221" customFormat="1" ht="33.75" hidden="1">
      <c r="A198" s="207">
        <v>42101</v>
      </c>
      <c r="B198" s="211" t="str">
        <f>IFERROR(VLOOKUP(A198,[17]Listas!$A$91:$B$107,2,FALSE),"")</f>
        <v>MOVILIDAD DOCENTE Y ESTUDIANTIL</v>
      </c>
      <c r="C198" s="211" t="s">
        <v>335</v>
      </c>
      <c r="D198" s="207" t="s">
        <v>336</v>
      </c>
      <c r="E198" s="211" t="s">
        <v>67</v>
      </c>
      <c r="F198" s="235" t="s">
        <v>54</v>
      </c>
      <c r="G198" s="222">
        <v>55500000</v>
      </c>
      <c r="H198" s="207" t="s">
        <v>83</v>
      </c>
      <c r="I198" s="211" t="str">
        <f>IFERROR(VLOOKUP(H198,[17]Listas!$B$126:$C$144,2,FALSE),"")</f>
        <v>Recursos Propios - Aportes de Otras Entidades</v>
      </c>
      <c r="J198" s="207">
        <v>12</v>
      </c>
      <c r="K198" s="207" t="s">
        <v>47</v>
      </c>
      <c r="L198" s="207"/>
      <c r="M198" s="231" t="str">
        <f t="shared" si="28"/>
        <v>INV-42101-12</v>
      </c>
      <c r="N198" s="207">
        <v>80111600</v>
      </c>
      <c r="O198" s="211" t="s">
        <v>353</v>
      </c>
      <c r="P198" s="208" t="s">
        <v>55</v>
      </c>
      <c r="Q198" s="208" t="s">
        <v>55</v>
      </c>
      <c r="R198" s="208">
        <v>12.5</v>
      </c>
      <c r="S198" s="208" t="s">
        <v>45</v>
      </c>
      <c r="T198" s="208" t="s">
        <v>48</v>
      </c>
      <c r="U198" s="207">
        <f>+G198</f>
        <v>55500000</v>
      </c>
      <c r="V198" s="207">
        <f t="shared" si="27"/>
        <v>55500000</v>
      </c>
      <c r="W198" s="208" t="s">
        <v>43</v>
      </c>
      <c r="X198" s="208" t="s">
        <v>46</v>
      </c>
      <c r="Y198" s="223" t="s">
        <v>516</v>
      </c>
      <c r="Z198" s="224" t="s">
        <v>49</v>
      </c>
      <c r="AA198" s="225" t="s">
        <v>336</v>
      </c>
      <c r="AB198" s="226" t="s">
        <v>101</v>
      </c>
      <c r="AC198" s="227" t="s">
        <v>50</v>
      </c>
      <c r="AD198" s="213" t="s">
        <v>43</v>
      </c>
      <c r="AE198" s="213" t="s">
        <v>47</v>
      </c>
      <c r="AF198" s="228" t="s">
        <v>72</v>
      </c>
      <c r="AG198" s="229" t="s">
        <v>73</v>
      </c>
      <c r="AH198" s="229" t="s">
        <v>74</v>
      </c>
      <c r="AI198" s="229" t="s">
        <v>72</v>
      </c>
      <c r="AJ198" s="229" t="s">
        <v>75</v>
      </c>
      <c r="AK198" s="229" t="s">
        <v>76</v>
      </c>
    </row>
    <row r="199" spans="1:37" s="221" customFormat="1" ht="56.25" hidden="1">
      <c r="A199" s="207">
        <v>42101</v>
      </c>
      <c r="B199" s="211" t="str">
        <f>IFERROR(VLOOKUP(A199,[17]Listas!$A$91:$B$107,2,FALSE),"")</f>
        <v>MOVILIDAD DOCENTE Y ESTUDIANTIL</v>
      </c>
      <c r="C199" s="211" t="s">
        <v>335</v>
      </c>
      <c r="D199" s="207" t="s">
        <v>336</v>
      </c>
      <c r="E199" s="234" t="s">
        <v>67</v>
      </c>
      <c r="F199" s="235" t="s">
        <v>354</v>
      </c>
      <c r="G199" s="222">
        <v>45000000</v>
      </c>
      <c r="H199" s="207" t="s">
        <v>83</v>
      </c>
      <c r="I199" s="211" t="str">
        <f>IFERROR(VLOOKUP(H199,[17]Listas!$B$126:$C$144,2,FALSE),"")</f>
        <v>Recursos Propios - Aportes de Otras Entidades</v>
      </c>
      <c r="J199" s="207">
        <v>13</v>
      </c>
      <c r="K199" s="207" t="s">
        <v>43</v>
      </c>
      <c r="L199" s="207"/>
      <c r="M199" s="231" t="str">
        <f t="shared" si="28"/>
        <v>INV-42101-13</v>
      </c>
      <c r="N199" s="207" t="s">
        <v>70</v>
      </c>
      <c r="O199" s="211" t="s">
        <v>355</v>
      </c>
      <c r="P199" s="213" t="s">
        <v>46</v>
      </c>
      <c r="Q199" s="213" t="s">
        <v>46</v>
      </c>
      <c r="R199" s="213" t="s">
        <v>46</v>
      </c>
      <c r="S199" s="213" t="s">
        <v>46</v>
      </c>
      <c r="T199" s="213" t="s">
        <v>46</v>
      </c>
      <c r="U199" s="207">
        <f>G199</f>
        <v>45000000</v>
      </c>
      <c r="V199" s="207">
        <f t="shared" si="27"/>
        <v>45000000</v>
      </c>
      <c r="W199" s="208" t="s">
        <v>43</v>
      </c>
      <c r="X199" s="208" t="s">
        <v>46</v>
      </c>
      <c r="Y199" s="214" t="s">
        <v>516</v>
      </c>
      <c r="Z199" s="215" t="s">
        <v>49</v>
      </c>
      <c r="AA199" s="216" t="s">
        <v>336</v>
      </c>
      <c r="AB199" s="217" t="s">
        <v>101</v>
      </c>
      <c r="AC199" s="218" t="s">
        <v>50</v>
      </c>
      <c r="AD199" s="219" t="s">
        <v>43</v>
      </c>
      <c r="AE199" s="219" t="s">
        <v>43</v>
      </c>
      <c r="AF199" s="220" t="s">
        <v>72</v>
      </c>
      <c r="AG199" s="220" t="s">
        <v>73</v>
      </c>
      <c r="AH199" s="220" t="s">
        <v>74</v>
      </c>
      <c r="AI199" s="220" t="s">
        <v>72</v>
      </c>
      <c r="AJ199" s="220" t="s">
        <v>75</v>
      </c>
      <c r="AK199" s="220" t="s">
        <v>76</v>
      </c>
    </row>
    <row r="200" spans="1:37" s="221" customFormat="1" ht="67.5" hidden="1">
      <c r="A200" s="207">
        <v>42101</v>
      </c>
      <c r="B200" s="211" t="str">
        <f>IFERROR(VLOOKUP(A200,[17]Listas!$A$91:$B$107,2,FALSE),"")</f>
        <v>MOVILIDAD DOCENTE Y ESTUDIANTIL</v>
      </c>
      <c r="C200" s="211" t="s">
        <v>335</v>
      </c>
      <c r="D200" s="207" t="s">
        <v>336</v>
      </c>
      <c r="E200" s="234" t="s">
        <v>67</v>
      </c>
      <c r="F200" s="235" t="s">
        <v>348</v>
      </c>
      <c r="G200" s="222">
        <v>15360000</v>
      </c>
      <c r="H200" s="207" t="s">
        <v>83</v>
      </c>
      <c r="I200" s="211" t="str">
        <f>IFERROR(VLOOKUP(H200,[17]Listas!$B$126:$C$144,2,FALSE),"")</f>
        <v>Recursos Propios - Aportes de Otras Entidades</v>
      </c>
      <c r="J200" s="207">
        <v>14</v>
      </c>
      <c r="K200" s="207" t="s">
        <v>43</v>
      </c>
      <c r="L200" s="207"/>
      <c r="M200" s="231" t="str">
        <f t="shared" si="28"/>
        <v>INV-42101-14</v>
      </c>
      <c r="N200" s="207" t="s">
        <v>70</v>
      </c>
      <c r="O200" s="211" t="s">
        <v>356</v>
      </c>
      <c r="P200" s="213" t="s">
        <v>46</v>
      </c>
      <c r="Q200" s="213" t="s">
        <v>46</v>
      </c>
      <c r="R200" s="213" t="s">
        <v>46</v>
      </c>
      <c r="S200" s="213" t="s">
        <v>46</v>
      </c>
      <c r="T200" s="213" t="s">
        <v>46</v>
      </c>
      <c r="U200" s="207">
        <f>G200</f>
        <v>15360000</v>
      </c>
      <c r="V200" s="207">
        <f t="shared" si="27"/>
        <v>15360000</v>
      </c>
      <c r="W200" s="208" t="s">
        <v>43</v>
      </c>
      <c r="X200" s="208" t="s">
        <v>46</v>
      </c>
      <c r="Y200" s="214" t="s">
        <v>516</v>
      </c>
      <c r="Z200" s="215" t="s">
        <v>49</v>
      </c>
      <c r="AA200" s="216" t="s">
        <v>336</v>
      </c>
      <c r="AB200" s="217" t="s">
        <v>101</v>
      </c>
      <c r="AC200" s="218" t="s">
        <v>50</v>
      </c>
      <c r="AD200" s="219" t="s">
        <v>43</v>
      </c>
      <c r="AE200" s="219" t="s">
        <v>43</v>
      </c>
      <c r="AF200" s="220" t="s">
        <v>72</v>
      </c>
      <c r="AG200" s="220" t="s">
        <v>73</v>
      </c>
      <c r="AH200" s="220" t="s">
        <v>74</v>
      </c>
      <c r="AI200" s="220" t="s">
        <v>72</v>
      </c>
      <c r="AJ200" s="220" t="s">
        <v>75</v>
      </c>
      <c r="AK200" s="220" t="s">
        <v>76</v>
      </c>
    </row>
    <row r="201" spans="1:37" s="221" customFormat="1" ht="33.75" hidden="1">
      <c r="A201" s="207">
        <v>42101</v>
      </c>
      <c r="B201" s="211" t="str">
        <f>IFERROR(VLOOKUP(A201,[17]Listas!$A$91:$B$107,2,FALSE),"")</f>
        <v>MOVILIDAD DOCENTE Y ESTUDIANTIL</v>
      </c>
      <c r="C201" s="211" t="s">
        <v>335</v>
      </c>
      <c r="D201" s="207" t="s">
        <v>336</v>
      </c>
      <c r="E201" s="211" t="s">
        <v>67</v>
      </c>
      <c r="F201" s="235" t="s">
        <v>54</v>
      </c>
      <c r="G201" s="222">
        <v>27000000</v>
      </c>
      <c r="H201" s="207" t="s">
        <v>83</v>
      </c>
      <c r="I201" s="211" t="str">
        <f>IFERROR(VLOOKUP(H201,[17]Listas!$B$126:$C$144,2,FALSE),"")</f>
        <v>Recursos Propios - Aportes de Otras Entidades</v>
      </c>
      <c r="J201" s="207">
        <v>15</v>
      </c>
      <c r="K201" s="207" t="s">
        <v>47</v>
      </c>
      <c r="L201" s="207"/>
      <c r="M201" s="231" t="str">
        <f t="shared" si="28"/>
        <v>INV-42101-15</v>
      </c>
      <c r="N201" s="207">
        <v>80111600</v>
      </c>
      <c r="O201" s="211" t="s">
        <v>357</v>
      </c>
      <c r="P201" s="208" t="s">
        <v>55</v>
      </c>
      <c r="Q201" s="208" t="s">
        <v>55</v>
      </c>
      <c r="R201" s="208">
        <v>12.5</v>
      </c>
      <c r="S201" s="208" t="s">
        <v>45</v>
      </c>
      <c r="T201" s="208" t="s">
        <v>48</v>
      </c>
      <c r="U201" s="207">
        <f>+G201</f>
        <v>27000000</v>
      </c>
      <c r="V201" s="207">
        <f t="shared" si="27"/>
        <v>27000000</v>
      </c>
      <c r="W201" s="208" t="s">
        <v>43</v>
      </c>
      <c r="X201" s="208" t="s">
        <v>46</v>
      </c>
      <c r="Y201" s="223" t="s">
        <v>516</v>
      </c>
      <c r="Z201" s="224" t="s">
        <v>49</v>
      </c>
      <c r="AA201" s="225" t="s">
        <v>336</v>
      </c>
      <c r="AB201" s="226" t="s">
        <v>101</v>
      </c>
      <c r="AC201" s="227" t="s">
        <v>50</v>
      </c>
      <c r="AD201" s="213" t="s">
        <v>43</v>
      </c>
      <c r="AE201" s="213" t="s">
        <v>47</v>
      </c>
      <c r="AF201" s="228" t="s">
        <v>72</v>
      </c>
      <c r="AG201" s="229" t="s">
        <v>73</v>
      </c>
      <c r="AH201" s="229" t="s">
        <v>74</v>
      </c>
      <c r="AI201" s="229" t="s">
        <v>72</v>
      </c>
      <c r="AJ201" s="229" t="s">
        <v>75</v>
      </c>
      <c r="AK201" s="229" t="s">
        <v>76</v>
      </c>
    </row>
    <row r="202" spans="1:37" s="221" customFormat="1" ht="54" hidden="1" customHeight="1">
      <c r="A202" s="207">
        <v>42101</v>
      </c>
      <c r="B202" s="211" t="str">
        <f>IFERROR(VLOOKUP(A202,[17]Listas!$A$91:$B$107,2,FALSE),"")</f>
        <v>MOVILIDAD DOCENTE Y ESTUDIANTIL</v>
      </c>
      <c r="C202" s="211" t="s">
        <v>335</v>
      </c>
      <c r="D202" s="207" t="s">
        <v>336</v>
      </c>
      <c r="E202" s="234" t="s">
        <v>67</v>
      </c>
      <c r="F202" s="235" t="s">
        <v>348</v>
      </c>
      <c r="G202" s="239">
        <v>5000000</v>
      </c>
      <c r="H202" s="207" t="s">
        <v>129</v>
      </c>
      <c r="I202" s="211" t="str">
        <f>IFERROR(VLOOKUP(H202,[17]Listas!$B$126:$C$144,2,FALSE),"")</f>
        <v>Recursos del Balance - Aportes otras entidades</v>
      </c>
      <c r="J202" s="207">
        <v>16</v>
      </c>
      <c r="K202" s="207" t="s">
        <v>43</v>
      </c>
      <c r="L202" s="207"/>
      <c r="M202" s="231" t="str">
        <f t="shared" si="28"/>
        <v>INV-42101-16</v>
      </c>
      <c r="N202" s="207" t="s">
        <v>70</v>
      </c>
      <c r="O202" s="211" t="s">
        <v>358</v>
      </c>
      <c r="P202" s="213" t="s">
        <v>46</v>
      </c>
      <c r="Q202" s="213" t="s">
        <v>46</v>
      </c>
      <c r="R202" s="213" t="s">
        <v>46</v>
      </c>
      <c r="S202" s="213" t="s">
        <v>46</v>
      </c>
      <c r="T202" s="213" t="s">
        <v>46</v>
      </c>
      <c r="U202" s="207">
        <f>G202</f>
        <v>5000000</v>
      </c>
      <c r="V202" s="207">
        <f t="shared" si="27"/>
        <v>5000000</v>
      </c>
      <c r="W202" s="208" t="s">
        <v>43</v>
      </c>
      <c r="X202" s="208" t="s">
        <v>46</v>
      </c>
      <c r="Y202" s="214" t="s">
        <v>516</v>
      </c>
      <c r="Z202" s="215" t="s">
        <v>49</v>
      </c>
      <c r="AA202" s="216" t="s">
        <v>336</v>
      </c>
      <c r="AB202" s="217" t="s">
        <v>101</v>
      </c>
      <c r="AC202" s="218" t="s">
        <v>50</v>
      </c>
      <c r="AD202" s="219" t="s">
        <v>43</v>
      </c>
      <c r="AE202" s="219" t="s">
        <v>43</v>
      </c>
      <c r="AF202" s="220" t="s">
        <v>72</v>
      </c>
      <c r="AG202" s="220" t="s">
        <v>73</v>
      </c>
      <c r="AH202" s="220" t="s">
        <v>74</v>
      </c>
      <c r="AI202" s="220" t="s">
        <v>72</v>
      </c>
      <c r="AJ202" s="220" t="s">
        <v>75</v>
      </c>
      <c r="AK202" s="220" t="s">
        <v>76</v>
      </c>
    </row>
    <row r="203" spans="1:37" s="221" customFormat="1" ht="66" hidden="1" customHeight="1">
      <c r="A203" s="207">
        <v>42101</v>
      </c>
      <c r="B203" s="211" t="str">
        <f>IFERROR(VLOOKUP(A203,[17]Listas!$A$91:$B$107,2,FALSE),"")</f>
        <v>MOVILIDAD DOCENTE Y ESTUDIANTIL</v>
      </c>
      <c r="C203" s="211" t="s">
        <v>335</v>
      </c>
      <c r="D203" s="207" t="s">
        <v>336</v>
      </c>
      <c r="E203" s="234" t="s">
        <v>67</v>
      </c>
      <c r="F203" s="235" t="s">
        <v>54</v>
      </c>
      <c r="G203" s="239">
        <v>2000000</v>
      </c>
      <c r="H203" s="207" t="s">
        <v>129</v>
      </c>
      <c r="I203" s="211" t="str">
        <f>IFERROR(VLOOKUP(H203,[17]Listas!$B$126:$C$144,2,FALSE),"")</f>
        <v>Recursos del Balance - Aportes otras entidades</v>
      </c>
      <c r="J203" s="207">
        <v>17</v>
      </c>
      <c r="K203" s="207" t="s">
        <v>43</v>
      </c>
      <c r="L203" s="207"/>
      <c r="M203" s="231" t="str">
        <f t="shared" si="28"/>
        <v>INV-42101-17</v>
      </c>
      <c r="N203" s="211" t="s">
        <v>518</v>
      </c>
      <c r="O203" s="211" t="s">
        <v>359</v>
      </c>
      <c r="P203" s="208" t="s">
        <v>55</v>
      </c>
      <c r="Q203" s="208" t="s">
        <v>55</v>
      </c>
      <c r="R203" s="208">
        <v>1</v>
      </c>
      <c r="S203" s="208" t="s">
        <v>360</v>
      </c>
      <c r="T203" s="208" t="s">
        <v>48</v>
      </c>
      <c r="U203" s="207">
        <f>G203</f>
        <v>2000000</v>
      </c>
      <c r="V203" s="207">
        <f t="shared" si="27"/>
        <v>2000000</v>
      </c>
      <c r="W203" s="208" t="s">
        <v>43</v>
      </c>
      <c r="X203" s="208" t="s">
        <v>46</v>
      </c>
      <c r="Y203" s="214" t="s">
        <v>516</v>
      </c>
      <c r="Z203" s="215" t="s">
        <v>49</v>
      </c>
      <c r="AA203" s="216" t="s">
        <v>336</v>
      </c>
      <c r="AB203" s="217" t="s">
        <v>101</v>
      </c>
      <c r="AC203" s="218" t="s">
        <v>50</v>
      </c>
      <c r="AD203" s="219" t="s">
        <v>43</v>
      </c>
      <c r="AE203" s="219" t="s">
        <v>43</v>
      </c>
      <c r="AF203" s="220" t="s">
        <v>72</v>
      </c>
      <c r="AG203" s="220" t="s">
        <v>73</v>
      </c>
      <c r="AH203" s="220" t="s">
        <v>74</v>
      </c>
      <c r="AI203" s="220" t="s">
        <v>72</v>
      </c>
      <c r="AJ203" s="220" t="s">
        <v>75</v>
      </c>
      <c r="AK203" s="220" t="s">
        <v>76</v>
      </c>
    </row>
    <row r="204" spans="1:37" s="221" customFormat="1" ht="67.5" hidden="1">
      <c r="A204" s="207">
        <v>42101</v>
      </c>
      <c r="B204" s="211" t="str">
        <f>IFERROR(VLOOKUP(A204,[17]Listas!$A$91:$B$107,2,FALSE),"")</f>
        <v>MOVILIDAD DOCENTE Y ESTUDIANTIL</v>
      </c>
      <c r="C204" s="211" t="s">
        <v>335</v>
      </c>
      <c r="D204" s="207" t="s">
        <v>336</v>
      </c>
      <c r="E204" s="234" t="s">
        <v>67</v>
      </c>
      <c r="F204" s="235" t="s">
        <v>348</v>
      </c>
      <c r="G204" s="239">
        <v>13000000</v>
      </c>
      <c r="H204" s="207" t="s">
        <v>129</v>
      </c>
      <c r="I204" s="211" t="str">
        <f>IFERROR(VLOOKUP(H204,[17]Listas!$B$126:$C$144,2,FALSE),"")</f>
        <v>Recursos del Balance - Aportes otras entidades</v>
      </c>
      <c r="J204" s="207">
        <v>18</v>
      </c>
      <c r="K204" s="207" t="s">
        <v>43</v>
      </c>
      <c r="L204" s="207"/>
      <c r="M204" s="231" t="str">
        <f t="shared" si="28"/>
        <v>INV-42101-18</v>
      </c>
      <c r="N204" s="207" t="s">
        <v>70</v>
      </c>
      <c r="O204" s="211" t="s">
        <v>361</v>
      </c>
      <c r="P204" s="213" t="s">
        <v>46</v>
      </c>
      <c r="Q204" s="213" t="s">
        <v>46</v>
      </c>
      <c r="R204" s="213" t="s">
        <v>46</v>
      </c>
      <c r="S204" s="213" t="s">
        <v>46</v>
      </c>
      <c r="T204" s="213" t="s">
        <v>46</v>
      </c>
      <c r="U204" s="207">
        <f>G204</f>
        <v>13000000</v>
      </c>
      <c r="V204" s="207">
        <f t="shared" si="27"/>
        <v>13000000</v>
      </c>
      <c r="W204" s="208" t="s">
        <v>43</v>
      </c>
      <c r="X204" s="208" t="s">
        <v>46</v>
      </c>
      <c r="Y204" s="214" t="s">
        <v>516</v>
      </c>
      <c r="Z204" s="215" t="s">
        <v>49</v>
      </c>
      <c r="AA204" s="216" t="s">
        <v>336</v>
      </c>
      <c r="AB204" s="217" t="s">
        <v>101</v>
      </c>
      <c r="AC204" s="218" t="s">
        <v>50</v>
      </c>
      <c r="AD204" s="219" t="s">
        <v>43</v>
      </c>
      <c r="AE204" s="219" t="s">
        <v>43</v>
      </c>
      <c r="AF204" s="220" t="s">
        <v>72</v>
      </c>
      <c r="AG204" s="220" t="s">
        <v>73</v>
      </c>
      <c r="AH204" s="220" t="s">
        <v>74</v>
      </c>
      <c r="AI204" s="220" t="s">
        <v>72</v>
      </c>
      <c r="AJ204" s="220" t="s">
        <v>75</v>
      </c>
      <c r="AK204" s="220" t="s">
        <v>76</v>
      </c>
    </row>
    <row r="205" spans="1:37" s="35" customFormat="1" ht="76.5" hidden="1">
      <c r="A205" s="18">
        <f>[18]PAA!A11</f>
        <v>43203</v>
      </c>
      <c r="B205" s="22" t="str">
        <f>[18]PAA!B11</f>
        <v>CONSTRUCCIÓN Y ADQUISICIÓN DE NUEVAS INSTALACIONES</v>
      </c>
      <c r="C205" s="22" t="str">
        <f>[18]PAA!C11</f>
        <v>Adecuación de espacios académicos y administrativos</v>
      </c>
      <c r="D205" s="18" t="str">
        <f>[18]PAA!D11</f>
        <v>Grupo Interno de Trabajo de Infraestructura Física</v>
      </c>
      <c r="E205" s="5" t="str">
        <f>[18]PAA!E11</f>
        <v>2.3.2 Adquisición de bienes y servicios</v>
      </c>
      <c r="F205" s="20" t="str">
        <f>[18]PAA!F11</f>
        <v>2.3.2.01.01.004.01.01.02 Muebles del tipo utilizado en la oficina</v>
      </c>
      <c r="G205" s="104">
        <f>[18]PAA!G11</f>
        <v>9651552</v>
      </c>
      <c r="H205" s="18" t="str">
        <f>[18]PAA!H11</f>
        <v>21.10.21</v>
      </c>
      <c r="I205" s="22" t="str">
        <f>[18]PAA!I11</f>
        <v>Rendimientos Financieros Nacionales Inversión  Infraestructura</v>
      </c>
      <c r="J205" s="18">
        <v>1</v>
      </c>
      <c r="K205" s="18" t="s">
        <v>257</v>
      </c>
      <c r="L205" s="22"/>
      <c r="M205" s="36" t="str">
        <f t="shared" ref="M205" si="30">"INV-"&amp;A205&amp;"-"&amp;J205</f>
        <v>INV-43203-1</v>
      </c>
      <c r="N205" s="22" t="s">
        <v>374</v>
      </c>
      <c r="O205" s="52" t="str">
        <f>[18]PAA!O11</f>
        <v>Adquirir e instalar mobiliario para las distintas áreas de la Universidad Pedagógica Nacional</v>
      </c>
      <c r="P205" s="74" t="str">
        <f>[18]PAA!P11</f>
        <v>ENERO</v>
      </c>
      <c r="Q205" s="74" t="str">
        <f>[18]PAA!Q11</f>
        <v>ENERO</v>
      </c>
      <c r="R205" s="73">
        <f>[18]PAA!R11</f>
        <v>1</v>
      </c>
      <c r="S205" s="74" t="str">
        <f>[18]PAA!S11</f>
        <v>MES(ES)</v>
      </c>
      <c r="T205" s="90" t="str">
        <f>[18]PAA!T11</f>
        <v>Contratación directa.</v>
      </c>
      <c r="U205" s="68">
        <f>[18]PAA!U11</f>
        <v>9651552</v>
      </c>
      <c r="V205" s="68">
        <f>[18]PAA!V11</f>
        <v>9651552</v>
      </c>
      <c r="W205" s="29" t="str">
        <f>[18]PAA!W11</f>
        <v>NO</v>
      </c>
      <c r="X205" s="29" t="str">
        <f>[18]PAA!X11</f>
        <v>NA</v>
      </c>
      <c r="Y205" s="13" t="s">
        <v>380</v>
      </c>
      <c r="Z205" s="88" t="str">
        <f>[18]PAA!Z11</f>
        <v>CO-DC</v>
      </c>
      <c r="AA205" s="93" t="s">
        <v>326</v>
      </c>
      <c r="AB205" s="6" t="s">
        <v>101</v>
      </c>
      <c r="AC205" s="6" t="s">
        <v>50</v>
      </c>
      <c r="AD205" s="89" t="str">
        <f>[18]PAA!AD11</f>
        <v>NO</v>
      </c>
      <c r="AE205" s="89" t="str">
        <f>[18]PAA!AE11</f>
        <v>SI</v>
      </c>
      <c r="AF205" s="33" t="str">
        <f>[18]PAA!AF11</f>
        <v>Directo</v>
      </c>
      <c r="AG205" s="33" t="str">
        <f>[18]PAA!AG11</f>
        <v>Todas</v>
      </c>
      <c r="AH205" s="33" t="str">
        <f>[18]PAA!AH11</f>
        <v>Todos</v>
      </c>
      <c r="AI205" s="33" t="str">
        <f>[18]PAA!AI11</f>
        <v>No Aplica</v>
      </c>
      <c r="AJ205" s="33" t="str">
        <f>[18]PAA!AJ11</f>
        <v>Educación Y Nuevas Tecnologías</v>
      </c>
      <c r="AK205" s="33" t="str">
        <f>[18]PAA!AK11</f>
        <v>Fortalecimiento Institucional</v>
      </c>
    </row>
    <row r="206" spans="1:37" s="137" customFormat="1" ht="101.25" hidden="1">
      <c r="A206" s="256">
        <v>43202</v>
      </c>
      <c r="B206" s="243" t="str">
        <f>IFERROR(VLOOKUP(A206,[19]Listas!$A$91:$B$107,2,FALSE),"")</f>
        <v>GESTIÓN Y MEJORAMIENTO DE LA INFRAESTRUCTURA Y DOTACIÓN UPN</v>
      </c>
      <c r="C206" s="253" t="s">
        <v>464</v>
      </c>
      <c r="D206" s="253" t="s">
        <v>167</v>
      </c>
      <c r="E206" s="253" t="s">
        <v>67</v>
      </c>
      <c r="F206" s="242" t="s">
        <v>465</v>
      </c>
      <c r="G206" s="269">
        <v>1616858333</v>
      </c>
      <c r="H206" s="256" t="s">
        <v>247</v>
      </c>
      <c r="I206" s="243" t="s">
        <v>466</v>
      </c>
      <c r="J206" s="236" t="s">
        <v>170</v>
      </c>
      <c r="K206" s="182"/>
      <c r="L206" s="183"/>
      <c r="M206" s="270" t="str">
        <f>"INV-"&amp;A206&amp;"-"&amp;J206</f>
        <v>INV-43202-1</v>
      </c>
      <c r="N206" s="237" t="s">
        <v>364</v>
      </c>
      <c r="O206" s="238" t="s">
        <v>467</v>
      </c>
      <c r="P206" s="244" t="s">
        <v>55</v>
      </c>
      <c r="Q206" s="244" t="s">
        <v>55</v>
      </c>
      <c r="R206" s="256">
        <v>12</v>
      </c>
      <c r="S206" s="244" t="s">
        <v>45</v>
      </c>
      <c r="T206" s="271" t="s">
        <v>174</v>
      </c>
      <c r="U206" s="272">
        <f t="shared" ref="U206:U211" si="31">+G206</f>
        <v>1616858333</v>
      </c>
      <c r="V206" s="272">
        <f>+U206</f>
        <v>1616858333</v>
      </c>
      <c r="W206" s="244" t="s">
        <v>43</v>
      </c>
      <c r="X206" s="244" t="s">
        <v>46</v>
      </c>
      <c r="Y206" s="242" t="s">
        <v>468</v>
      </c>
      <c r="Z206" s="245" t="s">
        <v>49</v>
      </c>
      <c r="AA206" s="246" t="s">
        <v>71</v>
      </c>
      <c r="AB206" s="247" t="s">
        <v>101</v>
      </c>
      <c r="AC206" s="248" t="s">
        <v>50</v>
      </c>
      <c r="AD206" s="249" t="s">
        <v>43</v>
      </c>
      <c r="AE206" s="249" t="s">
        <v>47</v>
      </c>
      <c r="AF206" s="250" t="s">
        <v>72</v>
      </c>
      <c r="AG206" s="250" t="s">
        <v>73</v>
      </c>
      <c r="AH206" s="250" t="s">
        <v>74</v>
      </c>
      <c r="AI206" s="250" t="s">
        <v>53</v>
      </c>
      <c r="AJ206" s="251" t="s">
        <v>75</v>
      </c>
      <c r="AK206" s="251" t="s">
        <v>76</v>
      </c>
    </row>
    <row r="207" spans="1:37" s="137" customFormat="1" ht="45" hidden="1">
      <c r="A207" s="256">
        <v>43202</v>
      </c>
      <c r="B207" s="243" t="str">
        <f>IFERROR(VLOOKUP(A207,[19]Listas!$A$91:$B$107,2,FALSE),"")</f>
        <v>GESTIÓN Y MEJORAMIENTO DE LA INFRAESTRUCTURA Y DOTACIÓN UPN</v>
      </c>
      <c r="C207" s="253" t="s">
        <v>464</v>
      </c>
      <c r="D207" s="253" t="s">
        <v>167</v>
      </c>
      <c r="E207" s="253" t="s">
        <v>67</v>
      </c>
      <c r="F207" s="252" t="s">
        <v>469</v>
      </c>
      <c r="G207" s="269">
        <f>247951997+233378760+343087798+252062658+272477718</f>
        <v>1348958931</v>
      </c>
      <c r="H207" s="256" t="s">
        <v>247</v>
      </c>
      <c r="I207" s="243" t="s">
        <v>466</v>
      </c>
      <c r="J207" s="236" t="s">
        <v>175</v>
      </c>
      <c r="K207" s="182"/>
      <c r="L207" s="183"/>
      <c r="M207" s="270" t="str">
        <f t="shared" ref="M207:M228" si="32">"INV-"&amp;A207&amp;"-"&amp;J207</f>
        <v>INV-43202-2</v>
      </c>
      <c r="N207" s="237" t="s">
        <v>375</v>
      </c>
      <c r="O207" s="238" t="s">
        <v>365</v>
      </c>
      <c r="P207" s="244" t="s">
        <v>55</v>
      </c>
      <c r="Q207" s="244" t="s">
        <v>55</v>
      </c>
      <c r="R207" s="256">
        <v>6</v>
      </c>
      <c r="S207" s="244" t="s">
        <v>45</v>
      </c>
      <c r="T207" s="271" t="s">
        <v>174</v>
      </c>
      <c r="U207" s="272">
        <f t="shared" si="31"/>
        <v>1348958931</v>
      </c>
      <c r="V207" s="272">
        <f t="shared" ref="V207:V212" si="33">+U207</f>
        <v>1348958931</v>
      </c>
      <c r="W207" s="244" t="s">
        <v>43</v>
      </c>
      <c r="X207" s="244" t="s">
        <v>46</v>
      </c>
      <c r="Y207" s="242" t="s">
        <v>468</v>
      </c>
      <c r="Z207" s="245" t="s">
        <v>49</v>
      </c>
      <c r="AA207" s="246" t="s">
        <v>71</v>
      </c>
      <c r="AB207" s="247" t="s">
        <v>101</v>
      </c>
      <c r="AC207" s="248" t="s">
        <v>50</v>
      </c>
      <c r="AD207" s="249" t="s">
        <v>43</v>
      </c>
      <c r="AE207" s="249" t="s">
        <v>47</v>
      </c>
      <c r="AF207" s="250" t="s">
        <v>72</v>
      </c>
      <c r="AG207" s="250" t="s">
        <v>73</v>
      </c>
      <c r="AH207" s="250" t="s">
        <v>74</v>
      </c>
      <c r="AI207" s="250" t="s">
        <v>53</v>
      </c>
      <c r="AJ207" s="251" t="s">
        <v>75</v>
      </c>
      <c r="AK207" s="251" t="s">
        <v>76</v>
      </c>
    </row>
    <row r="208" spans="1:37" s="137" customFormat="1" ht="56.25" hidden="1">
      <c r="A208" s="256">
        <v>43202</v>
      </c>
      <c r="B208" s="243" t="str">
        <f>IFERROR(VLOOKUP(A208,[19]Listas!$A$91:$B$107,2,FALSE),"")</f>
        <v>GESTIÓN Y MEJORAMIENTO DE LA INFRAESTRUCTURA Y DOTACIÓN UPN</v>
      </c>
      <c r="C208" s="253" t="s">
        <v>464</v>
      </c>
      <c r="D208" s="253" t="s">
        <v>167</v>
      </c>
      <c r="E208" s="253" t="s">
        <v>67</v>
      </c>
      <c r="F208" s="252" t="s">
        <v>168</v>
      </c>
      <c r="G208" s="255">
        <v>793321241</v>
      </c>
      <c r="H208" s="256" t="s">
        <v>278</v>
      </c>
      <c r="I208" s="243" t="s">
        <v>470</v>
      </c>
      <c r="J208" s="236" t="s">
        <v>178</v>
      </c>
      <c r="K208" s="182"/>
      <c r="L208" s="183"/>
      <c r="M208" s="270" t="str">
        <f t="shared" si="32"/>
        <v>INV-43202-3</v>
      </c>
      <c r="N208" s="237" t="s">
        <v>375</v>
      </c>
      <c r="O208" s="238" t="s">
        <v>366</v>
      </c>
      <c r="P208" s="244" t="s">
        <v>55</v>
      </c>
      <c r="Q208" s="244" t="s">
        <v>55</v>
      </c>
      <c r="R208" s="256">
        <v>6</v>
      </c>
      <c r="S208" s="244" t="s">
        <v>45</v>
      </c>
      <c r="T208" s="271" t="s">
        <v>174</v>
      </c>
      <c r="U208" s="272">
        <f t="shared" si="31"/>
        <v>793321241</v>
      </c>
      <c r="V208" s="272">
        <f t="shared" si="33"/>
        <v>793321241</v>
      </c>
      <c r="W208" s="244" t="s">
        <v>43</v>
      </c>
      <c r="X208" s="244" t="s">
        <v>46</v>
      </c>
      <c r="Y208" s="242" t="s">
        <v>468</v>
      </c>
      <c r="Z208" s="245" t="s">
        <v>49</v>
      </c>
      <c r="AA208" s="246" t="s">
        <v>71</v>
      </c>
      <c r="AB208" s="247" t="s">
        <v>101</v>
      </c>
      <c r="AC208" s="248" t="s">
        <v>50</v>
      </c>
      <c r="AD208" s="249" t="s">
        <v>43</v>
      </c>
      <c r="AE208" s="249" t="s">
        <v>47</v>
      </c>
      <c r="AF208" s="250" t="s">
        <v>72</v>
      </c>
      <c r="AG208" s="250" t="s">
        <v>73</v>
      </c>
      <c r="AH208" s="250" t="s">
        <v>74</v>
      </c>
      <c r="AI208" s="250" t="s">
        <v>53</v>
      </c>
      <c r="AJ208" s="251" t="s">
        <v>75</v>
      </c>
      <c r="AK208" s="251" t="s">
        <v>76</v>
      </c>
    </row>
    <row r="209" spans="1:37" s="137" customFormat="1" ht="45" hidden="1">
      <c r="A209" s="256">
        <v>43202</v>
      </c>
      <c r="B209" s="243" t="str">
        <f>IFERROR(VLOOKUP(A209,[19]Listas!$A$91:$B$107,2,FALSE),"")</f>
        <v>GESTIÓN Y MEJORAMIENTO DE LA INFRAESTRUCTURA Y DOTACIÓN UPN</v>
      </c>
      <c r="C209" s="253" t="s">
        <v>464</v>
      </c>
      <c r="D209" s="253" t="s">
        <v>167</v>
      </c>
      <c r="E209" s="253" t="s">
        <v>67</v>
      </c>
      <c r="F209" s="252" t="s">
        <v>168</v>
      </c>
      <c r="G209" s="273">
        <v>1500344137</v>
      </c>
      <c r="H209" s="256" t="s">
        <v>278</v>
      </c>
      <c r="I209" s="243" t="s">
        <v>470</v>
      </c>
      <c r="J209" s="236" t="s">
        <v>182</v>
      </c>
      <c r="K209" s="182"/>
      <c r="L209" s="183"/>
      <c r="M209" s="270" t="str">
        <f t="shared" si="32"/>
        <v>INV-43202-4</v>
      </c>
      <c r="N209" s="237" t="s">
        <v>375</v>
      </c>
      <c r="O209" s="238" t="s">
        <v>367</v>
      </c>
      <c r="P209" s="244" t="s">
        <v>55</v>
      </c>
      <c r="Q209" s="244" t="s">
        <v>55</v>
      </c>
      <c r="R209" s="256">
        <v>12</v>
      </c>
      <c r="S209" s="244" t="s">
        <v>45</v>
      </c>
      <c r="T209" s="271" t="s">
        <v>174</v>
      </c>
      <c r="U209" s="272">
        <f t="shared" si="31"/>
        <v>1500344137</v>
      </c>
      <c r="V209" s="272">
        <f t="shared" si="33"/>
        <v>1500344137</v>
      </c>
      <c r="W209" s="244" t="s">
        <v>43</v>
      </c>
      <c r="X209" s="244" t="s">
        <v>46</v>
      </c>
      <c r="Y209" s="242" t="s">
        <v>468</v>
      </c>
      <c r="Z209" s="245" t="s">
        <v>49</v>
      </c>
      <c r="AA209" s="246" t="s">
        <v>71</v>
      </c>
      <c r="AB209" s="247" t="s">
        <v>101</v>
      </c>
      <c r="AC209" s="248" t="s">
        <v>50</v>
      </c>
      <c r="AD209" s="249" t="s">
        <v>43</v>
      </c>
      <c r="AE209" s="249" t="s">
        <v>47</v>
      </c>
      <c r="AF209" s="250" t="s">
        <v>72</v>
      </c>
      <c r="AG209" s="250" t="s">
        <v>73</v>
      </c>
      <c r="AH209" s="250" t="s">
        <v>74</v>
      </c>
      <c r="AI209" s="250" t="s">
        <v>53</v>
      </c>
      <c r="AJ209" s="251" t="s">
        <v>75</v>
      </c>
      <c r="AK209" s="251" t="s">
        <v>76</v>
      </c>
    </row>
    <row r="210" spans="1:37" s="137" customFormat="1" ht="45" hidden="1">
      <c r="A210" s="256">
        <v>43202</v>
      </c>
      <c r="B210" s="253" t="str">
        <f>IFERROR(VLOOKUP(A210,[19]Listas!$A$91:$B$107,2,FALSE),"")</f>
        <v>GESTIÓN Y MEJORAMIENTO DE LA INFRAESTRUCTURA Y DOTACIÓN UPN</v>
      </c>
      <c r="C210" s="253" t="s">
        <v>464</v>
      </c>
      <c r="D210" s="253" t="s">
        <v>167</v>
      </c>
      <c r="E210" s="253" t="s">
        <v>67</v>
      </c>
      <c r="F210" s="252" t="s">
        <v>168</v>
      </c>
      <c r="G210" s="273">
        <v>240000000</v>
      </c>
      <c r="H210" s="256" t="s">
        <v>278</v>
      </c>
      <c r="I210" s="243" t="s">
        <v>470</v>
      </c>
      <c r="J210" s="236" t="s">
        <v>184</v>
      </c>
      <c r="K210" s="182"/>
      <c r="L210" s="183"/>
      <c r="M210" s="274" t="str">
        <f t="shared" si="32"/>
        <v>INV-43202-5</v>
      </c>
      <c r="N210" s="237" t="s">
        <v>375</v>
      </c>
      <c r="O210" s="238" t="s">
        <v>368</v>
      </c>
      <c r="P210" s="244" t="s">
        <v>55</v>
      </c>
      <c r="Q210" s="244" t="s">
        <v>55</v>
      </c>
      <c r="R210" s="256">
        <v>6</v>
      </c>
      <c r="S210" s="244" t="s">
        <v>45</v>
      </c>
      <c r="T210" s="271" t="s">
        <v>174</v>
      </c>
      <c r="U210" s="272">
        <f t="shared" si="31"/>
        <v>240000000</v>
      </c>
      <c r="V210" s="272">
        <f t="shared" si="33"/>
        <v>240000000</v>
      </c>
      <c r="W210" s="244" t="s">
        <v>43</v>
      </c>
      <c r="X210" s="244" t="s">
        <v>46</v>
      </c>
      <c r="Y210" s="242" t="s">
        <v>468</v>
      </c>
      <c r="Z210" s="245" t="s">
        <v>49</v>
      </c>
      <c r="AA210" s="246" t="s">
        <v>71</v>
      </c>
      <c r="AB210" s="247" t="s">
        <v>101</v>
      </c>
      <c r="AC210" s="248" t="s">
        <v>50</v>
      </c>
      <c r="AD210" s="249" t="s">
        <v>43</v>
      </c>
      <c r="AE210" s="249" t="s">
        <v>47</v>
      </c>
      <c r="AF210" s="250" t="s">
        <v>72</v>
      </c>
      <c r="AG210" s="250" t="s">
        <v>73</v>
      </c>
      <c r="AH210" s="250" t="s">
        <v>74</v>
      </c>
      <c r="AI210" s="250" t="s">
        <v>53</v>
      </c>
      <c r="AJ210" s="251" t="s">
        <v>75</v>
      </c>
      <c r="AK210" s="251" t="s">
        <v>76</v>
      </c>
    </row>
    <row r="211" spans="1:37" s="137" customFormat="1" ht="56.25" hidden="1">
      <c r="A211" s="256">
        <v>43202</v>
      </c>
      <c r="B211" s="253" t="str">
        <f>IFERROR(VLOOKUP(A211,[19]Listas!$A$91:$B$107,2,FALSE),"")</f>
        <v>GESTIÓN Y MEJORAMIENTO DE LA INFRAESTRUCTURA Y DOTACIÓN UPN</v>
      </c>
      <c r="C211" s="253" t="s">
        <v>464</v>
      </c>
      <c r="D211" s="253" t="s">
        <v>167</v>
      </c>
      <c r="E211" s="253" t="s">
        <v>67</v>
      </c>
      <c r="F211" s="242" t="s">
        <v>471</v>
      </c>
      <c r="G211" s="273">
        <v>400000000</v>
      </c>
      <c r="H211" s="256" t="s">
        <v>278</v>
      </c>
      <c r="I211" s="243" t="s">
        <v>470</v>
      </c>
      <c r="J211" s="236" t="s">
        <v>185</v>
      </c>
      <c r="K211" s="182"/>
      <c r="L211" s="183"/>
      <c r="M211" s="274" t="str">
        <f t="shared" si="32"/>
        <v>INV-43202-6</v>
      </c>
      <c r="N211" s="237">
        <v>81101500</v>
      </c>
      <c r="O211" s="238" t="s">
        <v>369</v>
      </c>
      <c r="P211" s="244" t="s">
        <v>55</v>
      </c>
      <c r="Q211" s="244" t="s">
        <v>55</v>
      </c>
      <c r="R211" s="256">
        <v>12</v>
      </c>
      <c r="S211" s="244" t="s">
        <v>45</v>
      </c>
      <c r="T211" s="271" t="s">
        <v>174</v>
      </c>
      <c r="U211" s="272">
        <f t="shared" si="31"/>
        <v>400000000</v>
      </c>
      <c r="V211" s="272">
        <f t="shared" si="33"/>
        <v>400000000</v>
      </c>
      <c r="W211" s="244" t="s">
        <v>43</v>
      </c>
      <c r="X211" s="244" t="s">
        <v>46</v>
      </c>
      <c r="Y211" s="242" t="s">
        <v>468</v>
      </c>
      <c r="Z211" s="245" t="s">
        <v>49</v>
      </c>
      <c r="AA211" s="246" t="s">
        <v>71</v>
      </c>
      <c r="AB211" s="247" t="s">
        <v>101</v>
      </c>
      <c r="AC211" s="248" t="s">
        <v>50</v>
      </c>
      <c r="AD211" s="249" t="s">
        <v>43</v>
      </c>
      <c r="AE211" s="249" t="s">
        <v>47</v>
      </c>
      <c r="AF211" s="250" t="s">
        <v>72</v>
      </c>
      <c r="AG211" s="250" t="s">
        <v>73</v>
      </c>
      <c r="AH211" s="250" t="s">
        <v>74</v>
      </c>
      <c r="AI211" s="250" t="s">
        <v>53</v>
      </c>
      <c r="AJ211" s="251" t="s">
        <v>75</v>
      </c>
      <c r="AK211" s="251" t="s">
        <v>76</v>
      </c>
    </row>
    <row r="212" spans="1:37" s="184" customFormat="1" ht="45" hidden="1">
      <c r="A212" s="252">
        <v>43202</v>
      </c>
      <c r="B212" s="243" t="str">
        <f>IFERROR(VLOOKUP(A212,[20]Listas!$A$91:$B$107,2,FALSE),"")</f>
        <v>GESTIÓN Y MEJORAMIENTO DE LA INFRAESTRUCTURA Y DOTACIÓN UPN</v>
      </c>
      <c r="C212" s="238" t="s">
        <v>472</v>
      </c>
      <c r="D212" s="252" t="s">
        <v>167</v>
      </c>
      <c r="E212" s="252" t="s">
        <v>67</v>
      </c>
      <c r="F212" s="252" t="s">
        <v>204</v>
      </c>
      <c r="G212" s="257">
        <v>17821294</v>
      </c>
      <c r="H212" s="252" t="s">
        <v>473</v>
      </c>
      <c r="I212" s="243" t="s">
        <v>474</v>
      </c>
      <c r="J212" s="415" t="s">
        <v>188</v>
      </c>
      <c r="K212" s="447"/>
      <c r="L212" s="438"/>
      <c r="M212" s="430" t="str">
        <f>"INV-"&amp;A212&amp;"-"&amp;J212</f>
        <v>INV-43202-7</v>
      </c>
      <c r="N212" s="421" t="s">
        <v>519</v>
      </c>
      <c r="O212" s="433" t="s">
        <v>475</v>
      </c>
      <c r="P212" s="411" t="s">
        <v>55</v>
      </c>
      <c r="Q212" s="411" t="s">
        <v>55</v>
      </c>
      <c r="R212" s="440">
        <v>3</v>
      </c>
      <c r="S212" s="411" t="s">
        <v>45</v>
      </c>
      <c r="T212" s="427" t="s">
        <v>174</v>
      </c>
      <c r="U212" s="413">
        <f>+SUM(G212:G215)</f>
        <v>217310332</v>
      </c>
      <c r="V212" s="413">
        <f t="shared" si="33"/>
        <v>217310332</v>
      </c>
      <c r="W212" s="244" t="s">
        <v>43</v>
      </c>
      <c r="X212" s="244" t="s">
        <v>46</v>
      </c>
      <c r="Y212" s="242" t="s">
        <v>468</v>
      </c>
      <c r="Z212" s="245" t="s">
        <v>49</v>
      </c>
      <c r="AA212" s="246" t="s">
        <v>71</v>
      </c>
      <c r="AB212" s="247" t="s">
        <v>101</v>
      </c>
      <c r="AC212" s="248" t="s">
        <v>50</v>
      </c>
      <c r="AD212" s="249" t="s">
        <v>43</v>
      </c>
      <c r="AE212" s="249" t="s">
        <v>47</v>
      </c>
      <c r="AF212" s="250" t="s">
        <v>72</v>
      </c>
      <c r="AG212" s="250" t="s">
        <v>73</v>
      </c>
      <c r="AH212" s="250" t="s">
        <v>74</v>
      </c>
      <c r="AI212" s="250" t="s">
        <v>53</v>
      </c>
      <c r="AJ212" s="251" t="s">
        <v>75</v>
      </c>
      <c r="AK212" s="251" t="s">
        <v>76</v>
      </c>
    </row>
    <row r="213" spans="1:37" s="184" customFormat="1" ht="45" hidden="1">
      <c r="A213" s="252">
        <v>43202</v>
      </c>
      <c r="B213" s="243" t="str">
        <f>IFERROR(VLOOKUP(A213,[20]Listas!$A$91:$B$107,2,FALSE),"")</f>
        <v>GESTIÓN Y MEJORAMIENTO DE LA INFRAESTRUCTURA Y DOTACIÓN UPN</v>
      </c>
      <c r="C213" s="238" t="s">
        <v>472</v>
      </c>
      <c r="D213" s="252" t="s">
        <v>167</v>
      </c>
      <c r="E213" s="252" t="s">
        <v>67</v>
      </c>
      <c r="F213" s="252" t="s">
        <v>476</v>
      </c>
      <c r="G213" s="257">
        <v>2416856</v>
      </c>
      <c r="H213" s="252" t="s">
        <v>473</v>
      </c>
      <c r="I213" s="243" t="s">
        <v>474</v>
      </c>
      <c r="J213" s="429"/>
      <c r="K213" s="448"/>
      <c r="L213" s="443"/>
      <c r="M213" s="431"/>
      <c r="N213" s="433"/>
      <c r="O213" s="433"/>
      <c r="P213" s="435"/>
      <c r="Q213" s="435"/>
      <c r="R213" s="450"/>
      <c r="S213" s="435"/>
      <c r="T213" s="442"/>
      <c r="U213" s="437"/>
      <c r="V213" s="437"/>
      <c r="W213" s="244" t="s">
        <v>43</v>
      </c>
      <c r="X213" s="244" t="s">
        <v>46</v>
      </c>
      <c r="Y213" s="242" t="s">
        <v>468</v>
      </c>
      <c r="Z213" s="245" t="s">
        <v>49</v>
      </c>
      <c r="AA213" s="246" t="s">
        <v>71</v>
      </c>
      <c r="AB213" s="247" t="s">
        <v>101</v>
      </c>
      <c r="AC213" s="248" t="s">
        <v>50</v>
      </c>
      <c r="AD213" s="249" t="s">
        <v>43</v>
      </c>
      <c r="AE213" s="249" t="s">
        <v>47</v>
      </c>
      <c r="AF213" s="250" t="s">
        <v>72</v>
      </c>
      <c r="AG213" s="250" t="s">
        <v>73</v>
      </c>
      <c r="AH213" s="250" t="s">
        <v>74</v>
      </c>
      <c r="AI213" s="250" t="s">
        <v>53</v>
      </c>
      <c r="AJ213" s="251" t="s">
        <v>75</v>
      </c>
      <c r="AK213" s="251" t="s">
        <v>76</v>
      </c>
    </row>
    <row r="214" spans="1:37" s="184" customFormat="1" ht="45" hidden="1">
      <c r="A214" s="252">
        <v>43202</v>
      </c>
      <c r="B214" s="243" t="str">
        <f>IFERROR(VLOOKUP(A214,[20]Listas!$A$91:$B$107,2,FALSE),"")</f>
        <v>GESTIÓN Y MEJORAMIENTO DE LA INFRAESTRUCTURA Y DOTACIÓN UPN</v>
      </c>
      <c r="C214" s="238" t="s">
        <v>472</v>
      </c>
      <c r="D214" s="252" t="s">
        <v>167</v>
      </c>
      <c r="E214" s="252" t="s">
        <v>67</v>
      </c>
      <c r="F214" s="242" t="s">
        <v>193</v>
      </c>
      <c r="G214" s="257">
        <v>169559382</v>
      </c>
      <c r="H214" s="252" t="s">
        <v>473</v>
      </c>
      <c r="I214" s="243" t="s">
        <v>474</v>
      </c>
      <c r="J214" s="429"/>
      <c r="K214" s="448"/>
      <c r="L214" s="443"/>
      <c r="M214" s="431"/>
      <c r="N214" s="433"/>
      <c r="O214" s="433"/>
      <c r="P214" s="435"/>
      <c r="Q214" s="435"/>
      <c r="R214" s="450"/>
      <c r="S214" s="435"/>
      <c r="T214" s="442"/>
      <c r="U214" s="437"/>
      <c r="V214" s="437"/>
      <c r="W214" s="244" t="s">
        <v>43</v>
      </c>
      <c r="X214" s="244" t="s">
        <v>46</v>
      </c>
      <c r="Y214" s="242" t="s">
        <v>468</v>
      </c>
      <c r="Z214" s="245" t="s">
        <v>49</v>
      </c>
      <c r="AA214" s="246" t="s">
        <v>71</v>
      </c>
      <c r="AB214" s="247" t="s">
        <v>101</v>
      </c>
      <c r="AC214" s="248" t="s">
        <v>50</v>
      </c>
      <c r="AD214" s="249" t="s">
        <v>43</v>
      </c>
      <c r="AE214" s="249" t="s">
        <v>47</v>
      </c>
      <c r="AF214" s="250" t="s">
        <v>72</v>
      </c>
      <c r="AG214" s="250" t="s">
        <v>73</v>
      </c>
      <c r="AH214" s="250" t="s">
        <v>74</v>
      </c>
      <c r="AI214" s="250" t="s">
        <v>53</v>
      </c>
      <c r="AJ214" s="251" t="s">
        <v>75</v>
      </c>
      <c r="AK214" s="251" t="s">
        <v>76</v>
      </c>
    </row>
    <row r="215" spans="1:37" s="184" customFormat="1" ht="78.75" hidden="1">
      <c r="A215" s="252">
        <v>43202</v>
      </c>
      <c r="B215" s="243" t="str">
        <f>IFERROR(VLOOKUP(A215,[20]Listas!$A$91:$B$107,2,FALSE),"")</f>
        <v>GESTIÓN Y MEJORAMIENTO DE LA INFRAESTRUCTURA Y DOTACIÓN UPN</v>
      </c>
      <c r="C215" s="238" t="s">
        <v>472</v>
      </c>
      <c r="D215" s="252" t="s">
        <v>167</v>
      </c>
      <c r="E215" s="252" t="s">
        <v>67</v>
      </c>
      <c r="F215" s="252" t="s">
        <v>477</v>
      </c>
      <c r="G215" s="257">
        <v>27512800</v>
      </c>
      <c r="H215" s="252" t="s">
        <v>473</v>
      </c>
      <c r="I215" s="243" t="s">
        <v>474</v>
      </c>
      <c r="J215" s="416"/>
      <c r="K215" s="449"/>
      <c r="L215" s="439"/>
      <c r="M215" s="432"/>
      <c r="N215" s="422"/>
      <c r="O215" s="422"/>
      <c r="P215" s="412"/>
      <c r="Q215" s="412"/>
      <c r="R215" s="441"/>
      <c r="S215" s="412"/>
      <c r="T215" s="428"/>
      <c r="U215" s="414"/>
      <c r="V215" s="414"/>
      <c r="W215" s="244" t="s">
        <v>43</v>
      </c>
      <c r="X215" s="244" t="s">
        <v>46</v>
      </c>
      <c r="Y215" s="242" t="s">
        <v>468</v>
      </c>
      <c r="Z215" s="245" t="s">
        <v>49</v>
      </c>
      <c r="AA215" s="246" t="s">
        <v>71</v>
      </c>
      <c r="AB215" s="247" t="s">
        <v>101</v>
      </c>
      <c r="AC215" s="248" t="s">
        <v>50</v>
      </c>
      <c r="AD215" s="249" t="s">
        <v>43</v>
      </c>
      <c r="AE215" s="249" t="s">
        <v>47</v>
      </c>
      <c r="AF215" s="250" t="s">
        <v>72</v>
      </c>
      <c r="AG215" s="250" t="s">
        <v>73</v>
      </c>
      <c r="AH215" s="250" t="s">
        <v>74</v>
      </c>
      <c r="AI215" s="250" t="s">
        <v>53</v>
      </c>
      <c r="AJ215" s="251" t="s">
        <v>75</v>
      </c>
      <c r="AK215" s="251" t="s">
        <v>76</v>
      </c>
    </row>
    <row r="216" spans="1:37" s="184" customFormat="1" ht="45" hidden="1">
      <c r="A216" s="252">
        <v>43202</v>
      </c>
      <c r="B216" s="253" t="str">
        <f>IFERROR(VLOOKUP(A216,[20]Listas!$A$91:$B$107,2,FALSE),"")</f>
        <v>GESTIÓN Y MEJORAMIENTO DE LA INFRAESTRUCTURA Y DOTACIÓN UPN</v>
      </c>
      <c r="C216" s="238" t="s">
        <v>478</v>
      </c>
      <c r="D216" s="252" t="s">
        <v>167</v>
      </c>
      <c r="E216" s="252" t="s">
        <v>67</v>
      </c>
      <c r="F216" s="252" t="s">
        <v>168</v>
      </c>
      <c r="G216" s="254">
        <v>916557554</v>
      </c>
      <c r="H216" s="252" t="s">
        <v>473</v>
      </c>
      <c r="I216" s="243" t="s">
        <v>474</v>
      </c>
      <c r="J216" s="258" t="s">
        <v>191</v>
      </c>
      <c r="K216" s="268"/>
      <c r="L216" s="260"/>
      <c r="M216" s="261" t="str">
        <f>"INV-"&amp;A216&amp;"-"&amp;J216</f>
        <v>INV-43202-8</v>
      </c>
      <c r="N216" s="265" t="s">
        <v>479</v>
      </c>
      <c r="O216" s="263" t="s">
        <v>480</v>
      </c>
      <c r="P216" s="264" t="s">
        <v>55</v>
      </c>
      <c r="Q216" s="264" t="s">
        <v>55</v>
      </c>
      <c r="R216" s="267">
        <v>4</v>
      </c>
      <c r="S216" s="264" t="s">
        <v>45</v>
      </c>
      <c r="T216" s="266" t="s">
        <v>174</v>
      </c>
      <c r="U216" s="259">
        <f>+SUM(G216:G216)</f>
        <v>916557554</v>
      </c>
      <c r="V216" s="259">
        <f>+U216</f>
        <v>916557554</v>
      </c>
      <c r="W216" s="244" t="s">
        <v>43</v>
      </c>
      <c r="X216" s="244" t="s">
        <v>46</v>
      </c>
      <c r="Y216" s="242" t="s">
        <v>468</v>
      </c>
      <c r="Z216" s="245" t="s">
        <v>49</v>
      </c>
      <c r="AA216" s="246" t="s">
        <v>71</v>
      </c>
      <c r="AB216" s="247" t="s">
        <v>101</v>
      </c>
      <c r="AC216" s="248" t="s">
        <v>50</v>
      </c>
      <c r="AD216" s="249" t="s">
        <v>43</v>
      </c>
      <c r="AE216" s="249" t="s">
        <v>47</v>
      </c>
      <c r="AF216" s="250" t="s">
        <v>72</v>
      </c>
      <c r="AG216" s="250" t="s">
        <v>73</v>
      </c>
      <c r="AH216" s="250" t="s">
        <v>74</v>
      </c>
      <c r="AI216" s="250" t="s">
        <v>53</v>
      </c>
      <c r="AJ216" s="251" t="s">
        <v>75</v>
      </c>
      <c r="AK216" s="251" t="s">
        <v>76</v>
      </c>
    </row>
    <row r="217" spans="1:37" s="184" customFormat="1" ht="45" hidden="1">
      <c r="A217" s="252">
        <v>43202</v>
      </c>
      <c r="B217" s="253" t="str">
        <f>IFERROR(VLOOKUP(A217,[20]Listas!$A$91:$B$107,2,FALSE),"")</f>
        <v>GESTIÓN Y MEJORAMIENTO DE LA INFRAESTRUCTURA Y DOTACIÓN UPN</v>
      </c>
      <c r="C217" s="238" t="s">
        <v>478</v>
      </c>
      <c r="D217" s="252" t="s">
        <v>167</v>
      </c>
      <c r="E217" s="252" t="s">
        <v>67</v>
      </c>
      <c r="F217" s="252" t="s">
        <v>168</v>
      </c>
      <c r="G217" s="254">
        <v>650822908</v>
      </c>
      <c r="H217" s="252" t="s">
        <v>473</v>
      </c>
      <c r="I217" s="243" t="s">
        <v>474</v>
      </c>
      <c r="J217" s="258" t="s">
        <v>194</v>
      </c>
      <c r="K217" s="268"/>
      <c r="L217" s="260"/>
      <c r="M217" s="261" t="str">
        <f>"INV-"&amp;A217&amp;"-"&amp;J217</f>
        <v>INV-43202-9</v>
      </c>
      <c r="N217" s="262" t="s">
        <v>481</v>
      </c>
      <c r="O217" s="263" t="s">
        <v>482</v>
      </c>
      <c r="P217" s="264" t="s">
        <v>55</v>
      </c>
      <c r="Q217" s="264" t="s">
        <v>55</v>
      </c>
      <c r="R217" s="267">
        <v>4</v>
      </c>
      <c r="S217" s="264" t="s">
        <v>45</v>
      </c>
      <c r="T217" s="266" t="s">
        <v>174</v>
      </c>
      <c r="U217" s="259">
        <f>+G217</f>
        <v>650822908</v>
      </c>
      <c r="V217" s="259">
        <f t="shared" ref="V217:V218" si="34">+U217</f>
        <v>650822908</v>
      </c>
      <c r="W217" s="244" t="s">
        <v>43</v>
      </c>
      <c r="X217" s="244" t="s">
        <v>46</v>
      </c>
      <c r="Y217" s="242" t="s">
        <v>468</v>
      </c>
      <c r="Z217" s="245" t="s">
        <v>49</v>
      </c>
      <c r="AA217" s="246" t="s">
        <v>71</v>
      </c>
      <c r="AB217" s="247" t="s">
        <v>101</v>
      </c>
      <c r="AC217" s="248" t="s">
        <v>50</v>
      </c>
      <c r="AD217" s="249" t="s">
        <v>43</v>
      </c>
      <c r="AE217" s="249" t="s">
        <v>47</v>
      </c>
      <c r="AF217" s="250" t="s">
        <v>72</v>
      </c>
      <c r="AG217" s="250" t="s">
        <v>73</v>
      </c>
      <c r="AH217" s="250" t="s">
        <v>74</v>
      </c>
      <c r="AI217" s="250" t="s">
        <v>53</v>
      </c>
      <c r="AJ217" s="251" t="s">
        <v>75</v>
      </c>
      <c r="AK217" s="251" t="s">
        <v>76</v>
      </c>
    </row>
    <row r="218" spans="1:37" s="184" customFormat="1" ht="45" hidden="1">
      <c r="A218" s="252">
        <v>43202</v>
      </c>
      <c r="B218" s="253" t="str">
        <f>IFERROR(VLOOKUP(A218,[20]Listas!$A$91:$B$107,2,FALSE),"")</f>
        <v>GESTIÓN Y MEJORAMIENTO DE LA INFRAESTRUCTURA Y DOTACIÓN UPN</v>
      </c>
      <c r="C218" s="238" t="s">
        <v>478</v>
      </c>
      <c r="D218" s="252" t="s">
        <v>167</v>
      </c>
      <c r="E218" s="252" t="s">
        <v>67</v>
      </c>
      <c r="F218" s="252" t="s">
        <v>168</v>
      </c>
      <c r="G218" s="254">
        <v>338865929</v>
      </c>
      <c r="H218" s="252" t="s">
        <v>473</v>
      </c>
      <c r="I218" s="243" t="s">
        <v>474</v>
      </c>
      <c r="J218" s="258" t="s">
        <v>196</v>
      </c>
      <c r="K218" s="259"/>
      <c r="L218" s="260"/>
      <c r="M218" s="261" t="str">
        <f>"INV-"&amp;A218&amp;"-"&amp;J218</f>
        <v>INV-43202-10</v>
      </c>
      <c r="N218" s="262" t="s">
        <v>483</v>
      </c>
      <c r="O218" s="263" t="s">
        <v>484</v>
      </c>
      <c r="P218" s="264" t="s">
        <v>55</v>
      </c>
      <c r="Q218" s="264" t="s">
        <v>55</v>
      </c>
      <c r="R218" s="267">
        <v>3</v>
      </c>
      <c r="S218" s="264" t="s">
        <v>45</v>
      </c>
      <c r="T218" s="266" t="s">
        <v>174</v>
      </c>
      <c r="U218" s="259">
        <f>+G218</f>
        <v>338865929</v>
      </c>
      <c r="V218" s="259">
        <f t="shared" si="34"/>
        <v>338865929</v>
      </c>
      <c r="W218" s="244" t="s">
        <v>43</v>
      </c>
      <c r="X218" s="244" t="s">
        <v>46</v>
      </c>
      <c r="Y218" s="242" t="s">
        <v>468</v>
      </c>
      <c r="Z218" s="245" t="s">
        <v>49</v>
      </c>
      <c r="AA218" s="246" t="s">
        <v>71</v>
      </c>
      <c r="AB218" s="247" t="s">
        <v>101</v>
      </c>
      <c r="AC218" s="248" t="s">
        <v>50</v>
      </c>
      <c r="AD218" s="249" t="s">
        <v>43</v>
      </c>
      <c r="AE218" s="249" t="s">
        <v>47</v>
      </c>
      <c r="AF218" s="250" t="s">
        <v>72</v>
      </c>
      <c r="AG218" s="250" t="s">
        <v>73</v>
      </c>
      <c r="AH218" s="250" t="s">
        <v>74</v>
      </c>
      <c r="AI218" s="250" t="s">
        <v>53</v>
      </c>
      <c r="AJ218" s="251" t="s">
        <v>75</v>
      </c>
      <c r="AK218" s="251" t="s">
        <v>76</v>
      </c>
    </row>
    <row r="219" spans="1:37" s="184" customFormat="1" ht="45" hidden="1">
      <c r="A219" s="252">
        <v>43202</v>
      </c>
      <c r="B219" s="253" t="str">
        <f>IFERROR(VLOOKUP(A219,[20]Listas!$A$91:$B$107,2,FALSE),"")</f>
        <v>GESTIÓN Y MEJORAMIENTO DE LA INFRAESTRUCTURA Y DOTACIÓN UPN</v>
      </c>
      <c r="C219" s="238" t="s">
        <v>485</v>
      </c>
      <c r="D219" s="252" t="s">
        <v>167</v>
      </c>
      <c r="E219" s="252" t="s">
        <v>67</v>
      </c>
      <c r="F219" s="240" t="s">
        <v>486</v>
      </c>
      <c r="G219" s="241">
        <v>130627093</v>
      </c>
      <c r="H219" s="242" t="s">
        <v>247</v>
      </c>
      <c r="I219" s="243" t="s">
        <v>466</v>
      </c>
      <c r="J219" s="415" t="s">
        <v>198</v>
      </c>
      <c r="K219" s="413"/>
      <c r="L219" s="438"/>
      <c r="M219" s="430" t="str">
        <f>"INV-"&amp;A219&amp;"-"&amp;J219</f>
        <v>INV-43202-11</v>
      </c>
      <c r="N219" s="421" t="s">
        <v>487</v>
      </c>
      <c r="O219" s="423" t="s">
        <v>488</v>
      </c>
      <c r="P219" s="411" t="s">
        <v>55</v>
      </c>
      <c r="Q219" s="411" t="s">
        <v>55</v>
      </c>
      <c r="R219" s="444">
        <v>2</v>
      </c>
      <c r="S219" s="411" t="s">
        <v>45</v>
      </c>
      <c r="T219" s="427" t="s">
        <v>174</v>
      </c>
      <c r="U219" s="413">
        <f>+G219+G220+G221</f>
        <v>204267863</v>
      </c>
      <c r="V219" s="413">
        <f>+U219</f>
        <v>204267863</v>
      </c>
      <c r="W219" s="244" t="s">
        <v>43</v>
      </c>
      <c r="X219" s="244" t="s">
        <v>46</v>
      </c>
      <c r="Y219" s="242" t="s">
        <v>468</v>
      </c>
      <c r="Z219" s="245" t="s">
        <v>49</v>
      </c>
      <c r="AA219" s="246" t="s">
        <v>71</v>
      </c>
      <c r="AB219" s="247" t="s">
        <v>101</v>
      </c>
      <c r="AC219" s="248" t="s">
        <v>50</v>
      </c>
      <c r="AD219" s="249" t="s">
        <v>43</v>
      </c>
      <c r="AE219" s="249" t="s">
        <v>47</v>
      </c>
      <c r="AF219" s="250" t="s">
        <v>72</v>
      </c>
      <c r="AG219" s="250" t="s">
        <v>73</v>
      </c>
      <c r="AH219" s="250" t="s">
        <v>74</v>
      </c>
      <c r="AI219" s="250" t="s">
        <v>53</v>
      </c>
      <c r="AJ219" s="251" t="s">
        <v>75</v>
      </c>
      <c r="AK219" s="251" t="s">
        <v>76</v>
      </c>
    </row>
    <row r="220" spans="1:37" s="184" customFormat="1" ht="52.5" hidden="1">
      <c r="A220" s="252">
        <v>43202</v>
      </c>
      <c r="B220" s="253" t="str">
        <f>IFERROR(VLOOKUP(A220,[20]Listas!$A$91:$B$107,2,FALSE),"")</f>
        <v>GESTIÓN Y MEJORAMIENTO DE LA INFRAESTRUCTURA Y DOTACIÓN UPN</v>
      </c>
      <c r="C220" s="238" t="s">
        <v>485</v>
      </c>
      <c r="D220" s="252" t="s">
        <v>167</v>
      </c>
      <c r="E220" s="252" t="s">
        <v>67</v>
      </c>
      <c r="F220" s="240" t="s">
        <v>489</v>
      </c>
      <c r="G220" s="241">
        <v>53997837</v>
      </c>
      <c r="H220" s="242" t="s">
        <v>247</v>
      </c>
      <c r="I220" s="243" t="s">
        <v>466</v>
      </c>
      <c r="J220" s="429"/>
      <c r="K220" s="437"/>
      <c r="L220" s="443"/>
      <c r="M220" s="431"/>
      <c r="N220" s="433"/>
      <c r="O220" s="434"/>
      <c r="P220" s="435"/>
      <c r="Q220" s="435"/>
      <c r="R220" s="445"/>
      <c r="S220" s="435"/>
      <c r="T220" s="442"/>
      <c r="U220" s="437"/>
      <c r="V220" s="437"/>
      <c r="W220" s="244" t="s">
        <v>43</v>
      </c>
      <c r="X220" s="244" t="s">
        <v>46</v>
      </c>
      <c r="Y220" s="242" t="s">
        <v>468</v>
      </c>
      <c r="Z220" s="245" t="s">
        <v>49</v>
      </c>
      <c r="AA220" s="246" t="s">
        <v>71</v>
      </c>
      <c r="AB220" s="247" t="s">
        <v>101</v>
      </c>
      <c r="AC220" s="248" t="s">
        <v>50</v>
      </c>
      <c r="AD220" s="249" t="s">
        <v>43</v>
      </c>
      <c r="AE220" s="249" t="s">
        <v>47</v>
      </c>
      <c r="AF220" s="250" t="s">
        <v>72</v>
      </c>
      <c r="AG220" s="250" t="s">
        <v>73</v>
      </c>
      <c r="AH220" s="250" t="s">
        <v>74</v>
      </c>
      <c r="AI220" s="250" t="s">
        <v>53</v>
      </c>
      <c r="AJ220" s="251" t="s">
        <v>75</v>
      </c>
      <c r="AK220" s="251" t="s">
        <v>76</v>
      </c>
    </row>
    <row r="221" spans="1:37" s="184" customFormat="1" ht="84" hidden="1">
      <c r="A221" s="252">
        <v>43202</v>
      </c>
      <c r="B221" s="253" t="str">
        <f>IFERROR(VLOOKUP(A221,[20]Listas!$A$91:$B$107,2,FALSE),"")</f>
        <v>GESTIÓN Y MEJORAMIENTO DE LA INFRAESTRUCTURA Y DOTACIÓN UPN</v>
      </c>
      <c r="C221" s="238" t="s">
        <v>485</v>
      </c>
      <c r="D221" s="252" t="s">
        <v>167</v>
      </c>
      <c r="E221" s="252" t="s">
        <v>67</v>
      </c>
      <c r="F221" s="240" t="s">
        <v>477</v>
      </c>
      <c r="G221" s="241">
        <v>19642933</v>
      </c>
      <c r="H221" s="242" t="s">
        <v>247</v>
      </c>
      <c r="I221" s="243" t="s">
        <v>466</v>
      </c>
      <c r="J221" s="416"/>
      <c r="K221" s="414"/>
      <c r="L221" s="439"/>
      <c r="M221" s="432"/>
      <c r="N221" s="422"/>
      <c r="O221" s="424"/>
      <c r="P221" s="412"/>
      <c r="Q221" s="412"/>
      <c r="R221" s="446"/>
      <c r="S221" s="412"/>
      <c r="T221" s="428"/>
      <c r="U221" s="414"/>
      <c r="V221" s="414"/>
      <c r="W221" s="244" t="s">
        <v>43</v>
      </c>
      <c r="X221" s="244" t="s">
        <v>46</v>
      </c>
      <c r="Y221" s="242" t="s">
        <v>468</v>
      </c>
      <c r="Z221" s="245" t="s">
        <v>49</v>
      </c>
      <c r="AA221" s="246" t="s">
        <v>71</v>
      </c>
      <c r="AB221" s="247" t="s">
        <v>101</v>
      </c>
      <c r="AC221" s="248" t="s">
        <v>50</v>
      </c>
      <c r="AD221" s="249" t="s">
        <v>43</v>
      </c>
      <c r="AE221" s="249" t="s">
        <v>47</v>
      </c>
      <c r="AF221" s="250" t="s">
        <v>72</v>
      </c>
      <c r="AG221" s="250" t="s">
        <v>73</v>
      </c>
      <c r="AH221" s="250" t="s">
        <v>74</v>
      </c>
      <c r="AI221" s="250" t="s">
        <v>53</v>
      </c>
      <c r="AJ221" s="251" t="s">
        <v>75</v>
      </c>
      <c r="AK221" s="251" t="s">
        <v>76</v>
      </c>
    </row>
    <row r="222" spans="1:37" s="184" customFormat="1" ht="45" hidden="1">
      <c r="A222" s="252">
        <v>43202</v>
      </c>
      <c r="B222" s="253" t="str">
        <f>IFERROR(VLOOKUP(A222,[20]Listas!$A$91:$B$107,2,FALSE),"")</f>
        <v>GESTIÓN Y MEJORAMIENTO DE LA INFRAESTRUCTURA Y DOTACIÓN UPN</v>
      </c>
      <c r="C222" s="238" t="s">
        <v>478</v>
      </c>
      <c r="D222" s="252" t="s">
        <v>167</v>
      </c>
      <c r="E222" s="252" t="s">
        <v>67</v>
      </c>
      <c r="F222" s="252" t="s">
        <v>168</v>
      </c>
      <c r="G222" s="254">
        <v>235747181</v>
      </c>
      <c r="H222" s="252" t="s">
        <v>473</v>
      </c>
      <c r="I222" s="243" t="s">
        <v>474</v>
      </c>
      <c r="J222" s="415" t="s">
        <v>200</v>
      </c>
      <c r="K222" s="413"/>
      <c r="L222" s="438"/>
      <c r="M222" s="430" t="str">
        <f>"INV-"&amp;A222&amp;"-"&amp;J222</f>
        <v>INV-43202-12</v>
      </c>
      <c r="N222" s="421" t="s">
        <v>490</v>
      </c>
      <c r="O222" s="423" t="s">
        <v>491</v>
      </c>
      <c r="P222" s="411" t="s">
        <v>55</v>
      </c>
      <c r="Q222" s="411" t="s">
        <v>492</v>
      </c>
      <c r="R222" s="440">
        <v>3</v>
      </c>
      <c r="S222" s="411" t="s">
        <v>45</v>
      </c>
      <c r="T222" s="427" t="s">
        <v>174</v>
      </c>
      <c r="U222" s="413">
        <f>+G222+G223</f>
        <v>761286116</v>
      </c>
      <c r="V222" s="413">
        <f t="shared" ref="V222" si="35">+U222</f>
        <v>761286116</v>
      </c>
      <c r="W222" s="244" t="s">
        <v>43</v>
      </c>
      <c r="X222" s="244" t="s">
        <v>46</v>
      </c>
      <c r="Y222" s="242" t="s">
        <v>468</v>
      </c>
      <c r="Z222" s="245" t="s">
        <v>49</v>
      </c>
      <c r="AA222" s="246" t="s">
        <v>71</v>
      </c>
      <c r="AB222" s="247" t="s">
        <v>101</v>
      </c>
      <c r="AC222" s="248" t="s">
        <v>50</v>
      </c>
      <c r="AD222" s="249" t="s">
        <v>43</v>
      </c>
      <c r="AE222" s="249" t="s">
        <v>47</v>
      </c>
      <c r="AF222" s="250" t="s">
        <v>72</v>
      </c>
      <c r="AG222" s="250" t="s">
        <v>73</v>
      </c>
      <c r="AH222" s="250" t="s">
        <v>74</v>
      </c>
      <c r="AI222" s="250" t="s">
        <v>53</v>
      </c>
      <c r="AJ222" s="251" t="s">
        <v>75</v>
      </c>
      <c r="AK222" s="251" t="s">
        <v>76</v>
      </c>
    </row>
    <row r="223" spans="1:37" s="184" customFormat="1" ht="45" hidden="1">
      <c r="A223" s="252">
        <v>43202</v>
      </c>
      <c r="B223" s="253" t="str">
        <f>IFERROR(VLOOKUP(A223,[20]Listas!$A$91:$B$107,2,FALSE),"")</f>
        <v>GESTIÓN Y MEJORAMIENTO DE LA INFRAESTRUCTURA Y DOTACIÓN UPN</v>
      </c>
      <c r="C223" s="238" t="s">
        <v>478</v>
      </c>
      <c r="D223" s="252" t="s">
        <v>167</v>
      </c>
      <c r="E223" s="252" t="s">
        <v>67</v>
      </c>
      <c r="F223" s="242" t="s">
        <v>493</v>
      </c>
      <c r="G223" s="255">
        <v>525538935</v>
      </c>
      <c r="H223" s="256" t="s">
        <v>227</v>
      </c>
      <c r="I223" s="243" t="s">
        <v>494</v>
      </c>
      <c r="J223" s="416"/>
      <c r="K223" s="414"/>
      <c r="L223" s="439"/>
      <c r="M223" s="432"/>
      <c r="N223" s="422"/>
      <c r="O223" s="424"/>
      <c r="P223" s="412"/>
      <c r="Q223" s="412"/>
      <c r="R223" s="441"/>
      <c r="S223" s="412"/>
      <c r="T223" s="428"/>
      <c r="U223" s="414"/>
      <c r="V223" s="414"/>
      <c r="W223" s="244" t="s">
        <v>43</v>
      </c>
      <c r="X223" s="244" t="s">
        <v>46</v>
      </c>
      <c r="Y223" s="242" t="s">
        <v>468</v>
      </c>
      <c r="Z223" s="245" t="s">
        <v>49</v>
      </c>
      <c r="AA223" s="246" t="s">
        <v>71</v>
      </c>
      <c r="AB223" s="247" t="s">
        <v>101</v>
      </c>
      <c r="AC223" s="248" t="s">
        <v>50</v>
      </c>
      <c r="AD223" s="249" t="s">
        <v>43</v>
      </c>
      <c r="AE223" s="249" t="s">
        <v>47</v>
      </c>
      <c r="AF223" s="250" t="s">
        <v>72</v>
      </c>
      <c r="AG223" s="250" t="s">
        <v>73</v>
      </c>
      <c r="AH223" s="250" t="s">
        <v>74</v>
      </c>
      <c r="AI223" s="250" t="s">
        <v>53</v>
      </c>
      <c r="AJ223" s="251" t="s">
        <v>75</v>
      </c>
      <c r="AK223" s="251" t="s">
        <v>76</v>
      </c>
    </row>
    <row r="224" spans="1:37" s="184" customFormat="1" ht="45" hidden="1">
      <c r="A224" s="252">
        <v>43202</v>
      </c>
      <c r="B224" s="253" t="str">
        <f>IFERROR(VLOOKUP(A224,[20]Listas!$A$91:$B$107,2,FALSE),"")</f>
        <v>GESTIÓN Y MEJORAMIENTO DE LA INFRAESTRUCTURA Y DOTACIÓN UPN</v>
      </c>
      <c r="C224" s="238" t="s">
        <v>478</v>
      </c>
      <c r="D224" s="252" t="s">
        <v>167</v>
      </c>
      <c r="E224" s="252" t="s">
        <v>67</v>
      </c>
      <c r="F224" s="242" t="s">
        <v>493</v>
      </c>
      <c r="G224" s="257">
        <v>608005312</v>
      </c>
      <c r="H224" s="256" t="s">
        <v>155</v>
      </c>
      <c r="I224" s="243" t="s">
        <v>495</v>
      </c>
      <c r="J224" s="415" t="s">
        <v>202</v>
      </c>
      <c r="K224" s="415"/>
      <c r="L224" s="415"/>
      <c r="M224" s="430" t="str">
        <f>+"INV-"&amp;A224&amp;"-"&amp;J224</f>
        <v>INV-43202-13</v>
      </c>
      <c r="N224" s="421" t="s">
        <v>496</v>
      </c>
      <c r="O224" s="423" t="s">
        <v>497</v>
      </c>
      <c r="P224" s="411" t="s">
        <v>55</v>
      </c>
      <c r="Q224" s="411" t="s">
        <v>55</v>
      </c>
      <c r="R224" s="425">
        <v>4</v>
      </c>
      <c r="S224" s="411" t="s">
        <v>45</v>
      </c>
      <c r="T224" s="411" t="s">
        <v>174</v>
      </c>
      <c r="U224" s="413">
        <f>+G224+G225+G226+G227</f>
        <v>1279000000</v>
      </c>
      <c r="V224" s="413">
        <f>+U224</f>
        <v>1279000000</v>
      </c>
      <c r="W224" s="244" t="s">
        <v>43</v>
      </c>
      <c r="X224" s="244" t="s">
        <v>46</v>
      </c>
      <c r="Y224" s="242" t="s">
        <v>468</v>
      </c>
      <c r="Z224" s="245" t="s">
        <v>49</v>
      </c>
      <c r="AA224" s="246" t="s">
        <v>71</v>
      </c>
      <c r="AB224" s="247" t="s">
        <v>101</v>
      </c>
      <c r="AC224" s="248" t="s">
        <v>50</v>
      </c>
      <c r="AD224" s="249" t="s">
        <v>43</v>
      </c>
      <c r="AE224" s="249" t="s">
        <v>47</v>
      </c>
      <c r="AF224" s="250" t="s">
        <v>72</v>
      </c>
      <c r="AG224" s="250" t="s">
        <v>73</v>
      </c>
      <c r="AH224" s="250" t="s">
        <v>74</v>
      </c>
      <c r="AI224" s="250" t="s">
        <v>53</v>
      </c>
      <c r="AJ224" s="251" t="s">
        <v>75</v>
      </c>
      <c r="AK224" s="251" t="s">
        <v>76</v>
      </c>
    </row>
    <row r="225" spans="1:37" s="184" customFormat="1" ht="45" hidden="1">
      <c r="A225" s="252">
        <v>43202</v>
      </c>
      <c r="B225" s="253" t="str">
        <f>IFERROR(VLOOKUP(A225,[20]Listas!$A$91:$B$107,2,FALSE),"")</f>
        <v>GESTIÓN Y MEJORAMIENTO DE LA INFRAESTRUCTURA Y DOTACIÓN UPN</v>
      </c>
      <c r="C225" s="238" t="s">
        <v>478</v>
      </c>
      <c r="D225" s="252" t="s">
        <v>167</v>
      </c>
      <c r="E225" s="252" t="s">
        <v>67</v>
      </c>
      <c r="F225" s="242" t="s">
        <v>493</v>
      </c>
      <c r="G225" s="257">
        <v>645347474</v>
      </c>
      <c r="H225" s="256" t="s">
        <v>498</v>
      </c>
      <c r="I225" s="243" t="s">
        <v>499</v>
      </c>
      <c r="J225" s="429"/>
      <c r="K225" s="429"/>
      <c r="L225" s="429"/>
      <c r="M225" s="431"/>
      <c r="N225" s="433"/>
      <c r="O225" s="434"/>
      <c r="P225" s="435"/>
      <c r="Q225" s="435"/>
      <c r="R225" s="436"/>
      <c r="S225" s="435"/>
      <c r="T225" s="435"/>
      <c r="U225" s="437"/>
      <c r="V225" s="437"/>
      <c r="W225" s="244" t="s">
        <v>43</v>
      </c>
      <c r="X225" s="244" t="s">
        <v>46</v>
      </c>
      <c r="Y225" s="242" t="s">
        <v>468</v>
      </c>
      <c r="Z225" s="245" t="s">
        <v>49</v>
      </c>
      <c r="AA225" s="246" t="s">
        <v>71</v>
      </c>
      <c r="AB225" s="247" t="s">
        <v>101</v>
      </c>
      <c r="AC225" s="248" t="s">
        <v>50</v>
      </c>
      <c r="AD225" s="249" t="s">
        <v>43</v>
      </c>
      <c r="AE225" s="249" t="s">
        <v>47</v>
      </c>
      <c r="AF225" s="250" t="s">
        <v>72</v>
      </c>
      <c r="AG225" s="250" t="s">
        <v>73</v>
      </c>
      <c r="AH225" s="250" t="s">
        <v>74</v>
      </c>
      <c r="AI225" s="250" t="s">
        <v>53</v>
      </c>
      <c r="AJ225" s="251" t="s">
        <v>75</v>
      </c>
      <c r="AK225" s="251" t="s">
        <v>76</v>
      </c>
    </row>
    <row r="226" spans="1:37" s="184" customFormat="1" ht="45" hidden="1">
      <c r="A226" s="252">
        <v>43202</v>
      </c>
      <c r="B226" s="253" t="str">
        <f>IFERROR(VLOOKUP(A226,[20]Listas!$A$91:$B$107,2,FALSE),"")</f>
        <v>GESTIÓN Y MEJORAMIENTO DE LA INFRAESTRUCTURA Y DOTACIÓN UPN</v>
      </c>
      <c r="C226" s="238" t="s">
        <v>478</v>
      </c>
      <c r="D226" s="252" t="s">
        <v>167</v>
      </c>
      <c r="E226" s="252" t="s">
        <v>67</v>
      </c>
      <c r="F226" s="242" t="s">
        <v>493</v>
      </c>
      <c r="G226" s="257">
        <v>25611466</v>
      </c>
      <c r="H226" s="256" t="s">
        <v>328</v>
      </c>
      <c r="I226" s="243" t="s">
        <v>500</v>
      </c>
      <c r="J226" s="429"/>
      <c r="K226" s="429"/>
      <c r="L226" s="429"/>
      <c r="M226" s="431"/>
      <c r="N226" s="433"/>
      <c r="O226" s="434"/>
      <c r="P226" s="435"/>
      <c r="Q226" s="435"/>
      <c r="R226" s="436"/>
      <c r="S226" s="435"/>
      <c r="T226" s="435"/>
      <c r="U226" s="437"/>
      <c r="V226" s="437"/>
      <c r="W226" s="244" t="s">
        <v>43</v>
      </c>
      <c r="X226" s="244" t="s">
        <v>46</v>
      </c>
      <c r="Y226" s="242" t="s">
        <v>468</v>
      </c>
      <c r="Z226" s="245" t="s">
        <v>49</v>
      </c>
      <c r="AA226" s="246" t="s">
        <v>71</v>
      </c>
      <c r="AB226" s="247" t="s">
        <v>101</v>
      </c>
      <c r="AC226" s="248" t="s">
        <v>50</v>
      </c>
      <c r="AD226" s="249" t="s">
        <v>43</v>
      </c>
      <c r="AE226" s="249" t="s">
        <v>47</v>
      </c>
      <c r="AF226" s="250" t="s">
        <v>72</v>
      </c>
      <c r="AG226" s="250" t="s">
        <v>73</v>
      </c>
      <c r="AH226" s="250" t="s">
        <v>74</v>
      </c>
      <c r="AI226" s="250" t="s">
        <v>53</v>
      </c>
      <c r="AJ226" s="251" t="s">
        <v>75</v>
      </c>
      <c r="AK226" s="251" t="s">
        <v>76</v>
      </c>
    </row>
    <row r="227" spans="1:37" s="184" customFormat="1" ht="45" hidden="1">
      <c r="A227" s="252">
        <v>43202</v>
      </c>
      <c r="B227" s="253" t="str">
        <f>IFERROR(VLOOKUP(A227,[20]Listas!$A$91:$B$107,2,FALSE),"")</f>
        <v>GESTIÓN Y MEJORAMIENTO DE LA INFRAESTRUCTURA Y DOTACIÓN UPN</v>
      </c>
      <c r="C227" s="238" t="s">
        <v>478</v>
      </c>
      <c r="D227" s="252" t="s">
        <v>167</v>
      </c>
      <c r="E227" s="252" t="s">
        <v>67</v>
      </c>
      <c r="F227" s="242" t="s">
        <v>493</v>
      </c>
      <c r="G227" s="257">
        <v>35748</v>
      </c>
      <c r="H227" s="256" t="s">
        <v>56</v>
      </c>
      <c r="I227" s="243" t="s">
        <v>501</v>
      </c>
      <c r="J227" s="416"/>
      <c r="K227" s="416"/>
      <c r="L227" s="416"/>
      <c r="M227" s="432"/>
      <c r="N227" s="422"/>
      <c r="O227" s="424"/>
      <c r="P227" s="412"/>
      <c r="Q227" s="412"/>
      <c r="R227" s="426"/>
      <c r="S227" s="412"/>
      <c r="T227" s="412"/>
      <c r="U227" s="414"/>
      <c r="V227" s="414"/>
      <c r="W227" s="244" t="s">
        <v>43</v>
      </c>
      <c r="X227" s="244" t="s">
        <v>46</v>
      </c>
      <c r="Y227" s="242" t="s">
        <v>468</v>
      </c>
      <c r="Z227" s="245" t="s">
        <v>49</v>
      </c>
      <c r="AA227" s="246" t="s">
        <v>71</v>
      </c>
      <c r="AB227" s="247" t="s">
        <v>101</v>
      </c>
      <c r="AC227" s="248" t="s">
        <v>50</v>
      </c>
      <c r="AD227" s="249" t="s">
        <v>43</v>
      </c>
      <c r="AE227" s="249" t="s">
        <v>47</v>
      </c>
      <c r="AF227" s="250" t="s">
        <v>72</v>
      </c>
      <c r="AG227" s="250" t="s">
        <v>73</v>
      </c>
      <c r="AH227" s="250" t="s">
        <v>74</v>
      </c>
      <c r="AI227" s="250" t="s">
        <v>53</v>
      </c>
      <c r="AJ227" s="251" t="s">
        <v>75</v>
      </c>
      <c r="AK227" s="251" t="s">
        <v>76</v>
      </c>
    </row>
    <row r="228" spans="1:37" s="184" customFormat="1" ht="45" hidden="1">
      <c r="A228" s="252">
        <v>43202</v>
      </c>
      <c r="B228" s="253" t="str">
        <f>IFERROR(VLOOKUP(A228,[20]Listas!$A$91:$B$107,2,FALSE),"")</f>
        <v>GESTIÓN Y MEJORAMIENTO DE LA INFRAESTRUCTURA Y DOTACIÓN UPN</v>
      </c>
      <c r="C228" s="238" t="s">
        <v>478</v>
      </c>
      <c r="D228" s="252" t="s">
        <v>167</v>
      </c>
      <c r="E228" s="252" t="s">
        <v>67</v>
      </c>
      <c r="F228" s="242" t="s">
        <v>471</v>
      </c>
      <c r="G228" s="257">
        <v>1289457172</v>
      </c>
      <c r="H228" s="256" t="s">
        <v>155</v>
      </c>
      <c r="I228" s="243" t="s">
        <v>495</v>
      </c>
      <c r="J228" s="415" t="s">
        <v>205</v>
      </c>
      <c r="K228" s="415" t="s">
        <v>171</v>
      </c>
      <c r="L228" s="417"/>
      <c r="M228" s="419" t="str">
        <f t="shared" si="32"/>
        <v>INV-43202-14</v>
      </c>
      <c r="N228" s="421" t="s">
        <v>523</v>
      </c>
      <c r="O228" s="423" t="s">
        <v>520</v>
      </c>
      <c r="P228" s="411" t="s">
        <v>55</v>
      </c>
      <c r="Q228" s="411" t="s">
        <v>55</v>
      </c>
      <c r="R228" s="425">
        <v>4</v>
      </c>
      <c r="S228" s="411" t="s">
        <v>45</v>
      </c>
      <c r="T228" s="411" t="s">
        <v>174</v>
      </c>
      <c r="U228" s="413">
        <f>+G228+G229</f>
        <v>3009862750</v>
      </c>
      <c r="V228" s="413">
        <f>+U228</f>
        <v>3009862750</v>
      </c>
      <c r="W228" s="244" t="s">
        <v>43</v>
      </c>
      <c r="X228" s="244" t="s">
        <v>46</v>
      </c>
      <c r="Y228" s="242" t="s">
        <v>468</v>
      </c>
      <c r="Z228" s="245" t="s">
        <v>49</v>
      </c>
      <c r="AA228" s="246" t="s">
        <v>524</v>
      </c>
      <c r="AB228" s="247" t="s">
        <v>101</v>
      </c>
      <c r="AC228" s="248" t="s">
        <v>50</v>
      </c>
      <c r="AD228" s="249" t="s">
        <v>43</v>
      </c>
      <c r="AE228" s="249" t="s">
        <v>47</v>
      </c>
      <c r="AF228" s="250" t="s">
        <v>72</v>
      </c>
      <c r="AG228" s="250" t="s">
        <v>73</v>
      </c>
      <c r="AH228" s="250" t="s">
        <v>74</v>
      </c>
      <c r="AI228" s="250" t="s">
        <v>53</v>
      </c>
      <c r="AJ228" s="251" t="s">
        <v>75</v>
      </c>
      <c r="AK228" s="251" t="s">
        <v>76</v>
      </c>
    </row>
    <row r="229" spans="1:37" s="184" customFormat="1" ht="45" hidden="1">
      <c r="A229" s="252">
        <v>43202</v>
      </c>
      <c r="B229" s="253" t="str">
        <f>IFERROR(VLOOKUP(A229,[20]Listas!$A$91:$B$107,2,FALSE),"")</f>
        <v>GESTIÓN Y MEJORAMIENTO DE LA INFRAESTRUCTURA Y DOTACIÓN UPN</v>
      </c>
      <c r="C229" s="238" t="s">
        <v>478</v>
      </c>
      <c r="D229" s="252" t="s">
        <v>167</v>
      </c>
      <c r="E229" s="252" t="s">
        <v>67</v>
      </c>
      <c r="F229" s="242" t="s">
        <v>471</v>
      </c>
      <c r="G229" s="257">
        <v>1720405578</v>
      </c>
      <c r="H229" s="256" t="s">
        <v>521</v>
      </c>
      <c r="I229" s="243" t="s">
        <v>522</v>
      </c>
      <c r="J229" s="416"/>
      <c r="K229" s="416"/>
      <c r="L229" s="418"/>
      <c r="M229" s="420"/>
      <c r="N229" s="422"/>
      <c r="O229" s="424"/>
      <c r="P229" s="412"/>
      <c r="Q229" s="412"/>
      <c r="R229" s="426"/>
      <c r="S229" s="412"/>
      <c r="T229" s="412"/>
      <c r="U229" s="414"/>
      <c r="V229" s="414"/>
      <c r="W229" s="244" t="s">
        <v>43</v>
      </c>
      <c r="X229" s="244" t="s">
        <v>46</v>
      </c>
      <c r="Y229" s="242" t="s">
        <v>468</v>
      </c>
      <c r="Z229" s="245" t="s">
        <v>49</v>
      </c>
      <c r="AA229" s="246" t="s">
        <v>71</v>
      </c>
      <c r="AB229" s="247" t="s">
        <v>101</v>
      </c>
      <c r="AC229" s="248" t="s">
        <v>50</v>
      </c>
      <c r="AD229" s="249" t="s">
        <v>43</v>
      </c>
      <c r="AE229" s="249" t="s">
        <v>47</v>
      </c>
      <c r="AF229" s="250" t="s">
        <v>72</v>
      </c>
      <c r="AG229" s="250" t="s">
        <v>73</v>
      </c>
      <c r="AH229" s="250" t="s">
        <v>74</v>
      </c>
      <c r="AI229" s="250" t="s">
        <v>53</v>
      </c>
      <c r="AJ229" s="251" t="s">
        <v>75</v>
      </c>
      <c r="AK229" s="251" t="s">
        <v>76</v>
      </c>
    </row>
  </sheetData>
  <autoFilter ref="A7:AK229" xr:uid="{00000000-0001-0000-0000-000000000000}">
    <filterColumn colId="1">
      <filters>
        <filter val="FORTALECIMIENTO DEL ACCESO, LA PERMANENCIA Y LA CALIDAD DE LA EDUCACIÓN SUPERIOR UPN-ATENEA"/>
      </filters>
    </filterColumn>
    <filterColumn colId="10">
      <filters>
        <filter val="SI"/>
      </filters>
    </filterColumn>
    <filterColumn colId="11">
      <customFilters>
        <customFilter operator="notEqual" val=" "/>
      </customFilters>
    </filterColumn>
  </autoFilter>
  <mergeCells count="229">
    <mergeCell ref="S142:S143"/>
    <mergeCell ref="T142:T143"/>
    <mergeCell ref="J168:J169"/>
    <mergeCell ref="K168:K169"/>
    <mergeCell ref="L168:L169"/>
    <mergeCell ref="M168:M169"/>
    <mergeCell ref="N168:N169"/>
    <mergeCell ref="O168:O169"/>
    <mergeCell ref="P168:P169"/>
    <mergeCell ref="Q168:Q169"/>
    <mergeCell ref="R168:R169"/>
    <mergeCell ref="S168:S169"/>
    <mergeCell ref="T168:T169"/>
    <mergeCell ref="J142:J143"/>
    <mergeCell ref="K142:K143"/>
    <mergeCell ref="L142:L143"/>
    <mergeCell ref="M142:M143"/>
    <mergeCell ref="N142:N143"/>
    <mergeCell ref="O142:O143"/>
    <mergeCell ref="P142:P143"/>
    <mergeCell ref="Q142:Q143"/>
    <mergeCell ref="R142:R143"/>
    <mergeCell ref="AE181:AE182"/>
    <mergeCell ref="AF181:AF182"/>
    <mergeCell ref="AE175:AE177"/>
    <mergeCell ref="AF175:AF177"/>
    <mergeCell ref="S175:S177"/>
    <mergeCell ref="T175:T177"/>
    <mergeCell ref="W175:W177"/>
    <mergeCell ref="X175:X177"/>
    <mergeCell ref="Y175:Y177"/>
    <mergeCell ref="Z175:Z177"/>
    <mergeCell ref="AA175:AA177"/>
    <mergeCell ref="AA181:AA182"/>
    <mergeCell ref="AB181:AB182"/>
    <mergeCell ref="AC181:AC182"/>
    <mergeCell ref="AD181:AD182"/>
    <mergeCell ref="U175:U179"/>
    <mergeCell ref="V175:V179"/>
    <mergeCell ref="L175:L179"/>
    <mergeCell ref="O175:O179"/>
    <mergeCell ref="P175:P179"/>
    <mergeCell ref="Q175:Q179"/>
    <mergeCell ref="AK175:AK177"/>
    <mergeCell ref="J181:J182"/>
    <mergeCell ref="K181:K182"/>
    <mergeCell ref="L181:L182"/>
    <mergeCell ref="M181:M182"/>
    <mergeCell ref="N181:N182"/>
    <mergeCell ref="O181:O182"/>
    <mergeCell ref="P181:P182"/>
    <mergeCell ref="Q181:Q182"/>
    <mergeCell ref="R181:R182"/>
    <mergeCell ref="S181:S182"/>
    <mergeCell ref="T181:T182"/>
    <mergeCell ref="U181:U182"/>
    <mergeCell ref="V181:V182"/>
    <mergeCell ref="W181:W182"/>
    <mergeCell ref="X181:X182"/>
    <mergeCell ref="Y181:Y182"/>
    <mergeCell ref="Z181:Z182"/>
    <mergeCell ref="M175:M177"/>
    <mergeCell ref="N175:N177"/>
    <mergeCell ref="AK51:AK52"/>
    <mergeCell ref="J72:J73"/>
    <mergeCell ref="K72:K73"/>
    <mergeCell ref="L72:L73"/>
    <mergeCell ref="M72:M73"/>
    <mergeCell ref="N72:N73"/>
    <mergeCell ref="O72:O73"/>
    <mergeCell ref="R72:R73"/>
    <mergeCell ref="AD51:AD52"/>
    <mergeCell ref="AE51:AE52"/>
    <mergeCell ref="AF51:AF52"/>
    <mergeCell ref="AG51:AG52"/>
    <mergeCell ref="AH51:AH52"/>
    <mergeCell ref="R51:R52"/>
    <mergeCell ref="S51:S52"/>
    <mergeCell ref="Z51:Z52"/>
    <mergeCell ref="AA51:AA52"/>
    <mergeCell ref="V51:V52"/>
    <mergeCell ref="A90:A91"/>
    <mergeCell ref="B90:B91"/>
    <mergeCell ref="C90:C91"/>
    <mergeCell ref="D90:D91"/>
    <mergeCell ref="E90:E91"/>
    <mergeCell ref="F90:F91"/>
    <mergeCell ref="M9:M10"/>
    <mergeCell ref="N9:N10"/>
    <mergeCell ref="P9:P10"/>
    <mergeCell ref="N90:N91"/>
    <mergeCell ref="O90:O91"/>
    <mergeCell ref="M51:M52"/>
    <mergeCell ref="N51:N52"/>
    <mergeCell ref="O51:O52"/>
    <mergeCell ref="P51:P52"/>
    <mergeCell ref="J51:J52"/>
    <mergeCell ref="K51:K52"/>
    <mergeCell ref="AI90:AI91"/>
    <mergeCell ref="AJ90:AJ91"/>
    <mergeCell ref="P90:P91"/>
    <mergeCell ref="Q90:Q91"/>
    <mergeCell ref="V90:V91"/>
    <mergeCell ref="L9:L10"/>
    <mergeCell ref="K9:K10"/>
    <mergeCell ref="T51:T52"/>
    <mergeCell ref="U51:U52"/>
    <mergeCell ref="Q9:Q10"/>
    <mergeCell ref="Q51:Q52"/>
    <mergeCell ref="AI51:AI52"/>
    <mergeCell ref="AJ51:AJ52"/>
    <mergeCell ref="A1:AK1"/>
    <mergeCell ref="A2:AK2"/>
    <mergeCell ref="A3:AK3"/>
    <mergeCell ref="A4:AK4"/>
    <mergeCell ref="A5:AK5"/>
    <mergeCell ref="AF6:AH6"/>
    <mergeCell ref="AI6:AK6"/>
    <mergeCell ref="A6:L6"/>
    <mergeCell ref="M6:AE6"/>
    <mergeCell ref="AH175:AH177"/>
    <mergeCell ref="AI175:AI177"/>
    <mergeCell ref="AJ175:AJ177"/>
    <mergeCell ref="AH90:AH91"/>
    <mergeCell ref="AI181:AI182"/>
    <mergeCell ref="AJ181:AJ182"/>
    <mergeCell ref="R175:R179"/>
    <mergeCell ref="AA9:AA10"/>
    <mergeCell ref="R9:R10"/>
    <mergeCell ref="S9:S10"/>
    <mergeCell ref="T9:T10"/>
    <mergeCell ref="U9:U10"/>
    <mergeCell ref="W51:W52"/>
    <mergeCell ref="X51:X52"/>
    <mergeCell ref="W9:W10"/>
    <mergeCell ref="X9:X10"/>
    <mergeCell ref="Y9:Y10"/>
    <mergeCell ref="V9:V10"/>
    <mergeCell ref="R90:R91"/>
    <mergeCell ref="S90:S91"/>
    <mergeCell ref="T90:T91"/>
    <mergeCell ref="W90:W91"/>
    <mergeCell ref="Z9:Z10"/>
    <mergeCell ref="U90:U91"/>
    <mergeCell ref="O212:O215"/>
    <mergeCell ref="P212:P215"/>
    <mergeCell ref="Q212:Q215"/>
    <mergeCell ref="R212:R215"/>
    <mergeCell ref="AK181:AK182"/>
    <mergeCell ref="J90:J91"/>
    <mergeCell ref="K90:K91"/>
    <mergeCell ref="M90:M91"/>
    <mergeCell ref="J175:J179"/>
    <mergeCell ref="K175:K179"/>
    <mergeCell ref="AG181:AG182"/>
    <mergeCell ref="AH181:AH182"/>
    <mergeCell ref="AK90:AK91"/>
    <mergeCell ref="AD90:AD91"/>
    <mergeCell ref="AE90:AE91"/>
    <mergeCell ref="AF90:AF91"/>
    <mergeCell ref="AG90:AG91"/>
    <mergeCell ref="X90:X91"/>
    <mergeCell ref="Z90:Z91"/>
    <mergeCell ref="AA90:AA91"/>
    <mergeCell ref="AB175:AB177"/>
    <mergeCell ref="AC175:AC177"/>
    <mergeCell ref="AD175:AD177"/>
    <mergeCell ref="AG175:AG177"/>
    <mergeCell ref="Q222:Q223"/>
    <mergeCell ref="R222:R223"/>
    <mergeCell ref="S212:S215"/>
    <mergeCell ref="T212:T215"/>
    <mergeCell ref="U212:U215"/>
    <mergeCell ref="V212:V215"/>
    <mergeCell ref="J219:J221"/>
    <mergeCell ref="K219:K221"/>
    <mergeCell ref="L219:L221"/>
    <mergeCell ref="M219:M221"/>
    <mergeCell ref="N219:N221"/>
    <mergeCell ref="O219:O221"/>
    <mergeCell ref="P219:P221"/>
    <mergeCell ref="Q219:Q221"/>
    <mergeCell ref="R219:R221"/>
    <mergeCell ref="S219:S221"/>
    <mergeCell ref="T219:T221"/>
    <mergeCell ref="U219:U221"/>
    <mergeCell ref="V219:V221"/>
    <mergeCell ref="J212:J215"/>
    <mergeCell ref="K212:K215"/>
    <mergeCell ref="L212:L215"/>
    <mergeCell ref="M212:M215"/>
    <mergeCell ref="N212:N215"/>
    <mergeCell ref="S222:S223"/>
    <mergeCell ref="T222:T223"/>
    <mergeCell ref="U222:U223"/>
    <mergeCell ref="V222:V223"/>
    <mergeCell ref="J224:J227"/>
    <mergeCell ref="K224:K227"/>
    <mergeCell ref="L224:L227"/>
    <mergeCell ref="M224:M227"/>
    <mergeCell ref="N224:N227"/>
    <mergeCell ref="O224:O227"/>
    <mergeCell ref="P224:P227"/>
    <mergeCell ref="Q224:Q227"/>
    <mergeCell ref="R224:R227"/>
    <mergeCell ref="S224:S227"/>
    <mergeCell ref="T224:T227"/>
    <mergeCell ref="U224:U227"/>
    <mergeCell ref="V224:V227"/>
    <mergeCell ref="J222:J223"/>
    <mergeCell ref="K222:K223"/>
    <mergeCell ref="L222:L223"/>
    <mergeCell ref="M222:M223"/>
    <mergeCell ref="N222:N223"/>
    <mergeCell ref="O222:O223"/>
    <mergeCell ref="P222:P223"/>
    <mergeCell ref="S228:S229"/>
    <mergeCell ref="T228:T229"/>
    <mergeCell ref="U228:U229"/>
    <mergeCell ref="V228:V229"/>
    <mergeCell ref="J228:J229"/>
    <mergeCell ref="K228:K229"/>
    <mergeCell ref="L228:L229"/>
    <mergeCell ref="M228:M229"/>
    <mergeCell ref="N228:N229"/>
    <mergeCell ref="O228:O229"/>
    <mergeCell ref="P228:P229"/>
    <mergeCell ref="Q228:Q229"/>
    <mergeCell ref="R228:R229"/>
  </mergeCells>
  <phoneticPr fontId="7" type="noConversion"/>
  <conditionalFormatting sqref="L129:L142">
    <cfRule type="containsText" dxfId="2" priority="2" operator="containsText" text="SI">
      <formula>NOT(ISERROR(SEARCH("SI",L129)))</formula>
    </cfRule>
  </conditionalFormatting>
  <conditionalFormatting sqref="L144 L146:L168">
    <cfRule type="containsText" dxfId="1" priority="3" operator="containsText" text="SI">
      <formula>NOT(ISERROR(SEARCH("SI",L144)))</formula>
    </cfRule>
  </conditionalFormatting>
  <conditionalFormatting sqref="L170:L172">
    <cfRule type="containsText" dxfId="0" priority="1" operator="containsText" text="SI">
      <formula>NOT(ISERROR(SEARCH("SI",L170)))</formula>
    </cfRule>
  </conditionalFormatting>
  <dataValidations count="5">
    <dataValidation type="list" allowBlank="1" showInputMessage="1" showErrorMessage="1" sqref="X8:X9 T27 X53:X58 F72:F73 X206:X229 X11:X51 X183:X204 T29:T36 T39:T40 X162:X175 X180:X181 T42:T48 F173:F174 F148:F151 F145:F146 F129:F131 F154:F160 F133:F143 F166 F170:F171 X81:X160" xr:uid="{BAD02214-DFEB-449D-9D08-4D829698861F}">
      <formula1>INDIRECT(E8)</formula1>
    </dataValidation>
    <dataValidation type="decimal" operator="greaterThanOrEqual" allowBlank="1" showInputMessage="1" showErrorMessage="1" sqref="G53:G60 G62:G69 G71:G77 G154:G159 G133:G148 G170:G171 G173:G174" xr:uid="{B99B1F69-12F3-4B52-BE88-207A2811093A}">
      <formula1>0</formula1>
    </dataValidation>
    <dataValidation type="list" allowBlank="1" showInputMessage="1" showErrorMessage="1" sqref="W59:W80 W161 AD161:AE161" xr:uid="{F58035A7-2D22-4B51-895A-AA3BC9AA5F44}">
      <formula1>"SI,NO"</formula1>
    </dataValidation>
    <dataValidation type="list" allowBlank="1" showInputMessage="1" showErrorMessage="1" sqref="S59:S80 S161" xr:uid="{A923716B-B694-4C60-BA0C-A4428C2B69CE}">
      <formula1>"DÍA(S),MES(ES),AÑO(S)"</formula1>
    </dataValidation>
    <dataValidation type="list" allowBlank="1" showErrorMessage="1" sqref="F147 F144 F152:F153" xr:uid="{92E66E08-8EA6-4101-B1A5-010A8BCE9DC3}">
      <formula1>INDIRECT(E144)</formula1>
    </dataValidation>
  </dataValidations>
  <hyperlinks>
    <hyperlink ref="AC175" r:id="rId1" xr:uid="{7442E10A-3382-4BDB-B8DB-DDFA349DE942}"/>
    <hyperlink ref="AC180" r:id="rId2" xr:uid="{F9D2D7B6-AAFE-4B15-B91D-64BF04FCEE49}"/>
    <hyperlink ref="AC181" r:id="rId3" xr:uid="{5D36506F-DCB9-410B-93D5-CF370CCEE1F7}"/>
    <hyperlink ref="AC183" r:id="rId4" xr:uid="{EC0B8EF8-E0CD-4D34-AAD5-110CF73BD701}"/>
    <hyperlink ref="AC184" r:id="rId5" xr:uid="{3D4C8F3A-C529-424E-AE75-270C8DA42D70}"/>
    <hyperlink ref="AC185" r:id="rId6" xr:uid="{B1E00129-E484-4B82-8E8F-8406872C006E}"/>
    <hyperlink ref="AC186" r:id="rId7" xr:uid="{8C61236A-94B7-48F4-89C1-B15E8BD59CF7}"/>
    <hyperlink ref="AC97" r:id="rId8" xr:uid="{0FF28D78-EFFE-444B-B87E-B2A8E4059B46}"/>
    <hyperlink ref="AC98" r:id="rId9" xr:uid="{1CBDD7AC-D818-4F75-86EC-0FA77997C73D}"/>
    <hyperlink ref="AC99" r:id="rId10" xr:uid="{1C2F39EE-B674-4132-970C-054D4990B0C3}"/>
    <hyperlink ref="AC100" r:id="rId11" xr:uid="{409FC7B3-1C35-4E89-AB85-96370423D17E}"/>
    <hyperlink ref="AC101" r:id="rId12" xr:uid="{0EBEF34C-620C-42C1-8AEE-CF673DADC441}"/>
    <hyperlink ref="AC102" r:id="rId13" xr:uid="{07930886-E19F-4080-8E82-F9A0A5BD45FD}"/>
    <hyperlink ref="AC103" r:id="rId14" xr:uid="{9192E0AC-C97E-4FB4-B45B-794CF11CFFB5}"/>
    <hyperlink ref="AC93" r:id="rId15" xr:uid="{F2C6702F-8DCA-4F18-90C2-80E50E57A591}"/>
    <hyperlink ref="AC94" r:id="rId16" xr:uid="{20A1A0C6-0A45-4437-8741-05EA0AC35B84}"/>
    <hyperlink ref="AC95" r:id="rId17" xr:uid="{7F9E44B8-37A9-4411-A14F-07C4E3019B6B}"/>
    <hyperlink ref="AC96" r:id="rId18" xr:uid="{3BD03B1F-8ED2-4A26-AF75-666ED433A971}"/>
    <hyperlink ref="AC112" r:id="rId19" xr:uid="{A6338AEC-E9D2-4A6B-89A9-1A3B10CEFD74}"/>
    <hyperlink ref="AC113" r:id="rId20" xr:uid="{481A5566-ADBC-4667-9371-FC3330C8AF83}"/>
    <hyperlink ref="AC114" r:id="rId21" xr:uid="{F69676ED-7D0D-455C-ADEB-FEBB9FDFADB9}"/>
    <hyperlink ref="AC115" r:id="rId22" xr:uid="{05703BDB-C60F-438F-A923-74C18919DFD7}"/>
    <hyperlink ref="AC116" r:id="rId23" xr:uid="{45D9BC41-DE64-4DBC-86A1-D7FCEB5EC1C6}"/>
    <hyperlink ref="AC117" r:id="rId24" xr:uid="{0DF39CAD-9E40-4B3A-A3EB-7174EC3E05B4}"/>
    <hyperlink ref="AC118" r:id="rId25" xr:uid="{218141CE-6F04-4C1B-9565-8F753A009913}"/>
    <hyperlink ref="AC119" r:id="rId26" xr:uid="{AC5F3655-9B18-48B3-80BB-423ADDF95C9E}"/>
    <hyperlink ref="AC120" r:id="rId27" xr:uid="{6D86EAE9-C1D7-43A7-BB1F-8EED24DCFA97}"/>
    <hyperlink ref="AC121" r:id="rId28" xr:uid="{F2A7F104-2F22-42F8-A916-727D80608BA8}"/>
    <hyperlink ref="AC104" r:id="rId29" xr:uid="{9CAF7294-CAAC-442D-84AB-281BECFFC8EA}"/>
    <hyperlink ref="AC106" r:id="rId30" xr:uid="{50E4EC1F-C2D1-4965-9B27-DD4D364867E5}"/>
    <hyperlink ref="AC107" r:id="rId31" xr:uid="{A7958127-7AA0-4D17-A2DD-4F2E1F935673}"/>
    <hyperlink ref="AC108" r:id="rId32" xr:uid="{7A92B7AB-76D9-4658-AB09-8271D430D6A2}"/>
    <hyperlink ref="AC109" r:id="rId33" xr:uid="{61B78FB4-5075-4452-98D0-EB4A2E786796}"/>
    <hyperlink ref="AC110" r:id="rId34" xr:uid="{75E9ABBA-3B71-4699-8651-6AA8DD435CEA}"/>
    <hyperlink ref="AC111" r:id="rId35" xr:uid="{9928DE64-9A89-4BFC-8C4D-13652B956415}"/>
    <hyperlink ref="AC105" r:id="rId36" xr:uid="{1C00FE13-BC48-42E3-989A-1BFBFD6CFFA3}"/>
    <hyperlink ref="AC122" r:id="rId37" xr:uid="{91B9506F-3B5A-4E70-8835-27EDC5BD9930}"/>
    <hyperlink ref="AC123" r:id="rId38" xr:uid="{A429A7C0-9D9B-41C1-B3E7-069DDCEF021E}"/>
    <hyperlink ref="AC124" r:id="rId39" xr:uid="{58FD45B2-98A6-406E-BE87-061A078CC517}"/>
    <hyperlink ref="AC125" r:id="rId40" xr:uid="{7493FAA4-6D0B-4872-973A-E2D3D9A9760C}"/>
    <hyperlink ref="AC126" r:id="rId41" xr:uid="{ECAB26BD-7BC3-422C-A02C-C6581D513683}"/>
    <hyperlink ref="AC128" r:id="rId42" xr:uid="{375CF67E-5BCA-4BD3-A7A3-A523B832EF51}"/>
    <hyperlink ref="AC127" r:id="rId43" xr:uid="{830265B4-F40E-4B69-BC30-39393BA07EA4}"/>
  </hyperlinks>
  <pageMargins left="0.7" right="0.7" top="0.75" bottom="0.75" header="0.3" footer="0.3"/>
  <pageSetup orientation="portrait" r:id="rId44"/>
  <legacyDrawing r:id="rId45"/>
  <extLst>
    <ext xmlns:x14="http://schemas.microsoft.com/office/spreadsheetml/2009/9/main" uri="{CCE6A557-97BC-4b89-ADB6-D9C93CAAB3DF}">
      <x14:dataValidations xmlns:xm="http://schemas.microsoft.com/office/excel/2006/main" count="11">
        <x14:dataValidation type="list" allowBlank="1" showInputMessage="1" showErrorMessage="1" xr:uid="{DC7B9B90-71BC-4724-A83A-0851F109C400}">
          <x14:formula1>
            <xm:f>'C:\Users\dyrojasn\Desktop\ODP\2026\44101-SBU-Bienestar\[FOR-PES-001_FichaProyectos_Inversion 44101-2026 vf (1) (1).xlsx]Programación- Seguimiento'!#REF!</xm:f>
          </x14:formula1>
          <xm:sqref>C11:C21</xm:sqref>
        </x14:dataValidation>
        <x14:dataValidation type="list" allowBlank="1" showInputMessage="1" showErrorMessage="1" xr:uid="{60B8502F-D37E-4FB8-AEFA-09E3CE1AF932}">
          <x14:formula1>
            <xm:f>'C:\Users\dyrojasn\Desktop\ODP\2026\44101-SBU-Bienestar\[FOR-PES-001_FichaProyectos_Inversion 44101-2026 vf (1) (1).xlsx]Listas'!#REF!</xm:f>
          </x14:formula1>
          <xm:sqref>T11 H11:H21 A11:A21 K11:K21 W11:W21 P11:Q21 AF11:AK21 S11:S21</xm:sqref>
        </x14:dataValidation>
        <x14:dataValidation type="list" allowBlank="1" showInputMessage="1" showErrorMessage="1" xr:uid="{8ECA837F-8F29-41BC-AF86-F14AC73654BA}">
          <x14:formula1>
            <xm:f>'C:\Users\dyrojasn\Desktop\ODP\2026\42102-CIUP-Investigación\[FichaProyectos_Inversion Desarrollo de la politica de investigación 2026_17DIC (1).xlsx]Programación- Seguimiento'!#REF!</xm:f>
          </x14:formula1>
          <xm:sqref>C22:C48</xm:sqref>
        </x14:dataValidation>
        <x14:dataValidation type="list" allowBlank="1" showInputMessage="1" showErrorMessage="1" xr:uid="{7E084F73-AB04-4B96-B99C-DE0A689EA649}">
          <x14:formula1>
            <xm:f>'C:\Users\dyrojasn\Desktop\ODP\2026\42102-CIUP-Investigación\[FichaProyectos_Inversion Desarrollo de la politica de investigación 2026_17DIC (1).xlsx]Listas'!#REF!</xm:f>
          </x14:formula1>
          <xm:sqref>T41 T28 K22:K34 T23:T26 T37:T38 S22:S48 H22:H48 A22:A48 W22:W48 P22:Q48</xm:sqref>
        </x14:dataValidation>
        <x14:dataValidation type="list" allowBlank="1" showInputMessage="1" showErrorMessage="1" xr:uid="{4BF4046A-0E48-4EA7-829D-893E8602DABB}">
          <x14:formula1>
            <xm:f>'file:///C:\Users\jacortesg\OneDrive - Universidad Pedagogica Nacional\SGPCIUP - Documentos\Ficha de inversión 2025\FICHA DE INVERSIÓN -DES POLITICA\VERSIÓN 8\[FOR-PES-001_FichaProyecto Des de la Politica de Investigación - V8 (1).xlsx]Listas'!#REF!</xm:f>
          </x14:formula1>
          <xm:sqref>K35:K36 K39:K45</xm:sqref>
        </x14:dataValidation>
        <x14:dataValidation type="list" allowBlank="1" showInputMessage="1" showErrorMessage="1" xr:uid="{33EEDB40-585F-4D15-BA7C-3A990E990577}">
          <x14:formula1>
            <xm:f>'C:\Users\dyrojasn\Desktop\ODP\2026\41201-VAC-Forma_Profe\[Formulación 41201 Formación académica y desarrollo profesoral 2026 v1-Ajustada.xlsx]Programación- Seguimiento'!#REF!</xm:f>
          </x14:formula1>
          <xm:sqref>C49</xm:sqref>
        </x14:dataValidation>
        <x14:dataValidation type="list" allowBlank="1" showInputMessage="1" showErrorMessage="1" xr:uid="{CA3A58B7-3C4A-417E-A4B9-963E841EEF71}">
          <x14:formula1>
            <xm:f>'C:\Users\dyrojasn\Desktop\ODP\2026\41201-VAC-Forma_Profe\[Formulación 41201 Formación académica y desarrollo profesoral 2026 v1-Ajustada.xlsx]Listas'!#REF!</xm:f>
          </x14:formula1>
          <xm:sqref>A49 H49 K49 W49 P49:Q49 S49:T49 AF49:AK49</xm:sqref>
        </x14:dataValidation>
        <x14:dataValidation type="list" allowBlank="1" showInputMessage="1" showErrorMessage="1" xr:uid="{1FAC7CEC-9EA1-46C2-8168-D8AB1DE82CC1}">
          <x14:formula1>
            <xm:f>'C:\Users\dyrojasn\Desktop\ODP\2026\41102-CLE-Len_Extranjera\[Formulación 41102 Formación de Lengua Extranjera 2026 v1-Ajustado PAA.xlsx]Listas'!#REF!</xm:f>
          </x14:formula1>
          <xm:sqref>A50:A58 H50:H58 K53:K58 K50:K51 W50:W51 W53:W58 P53:Q58 P50:Q51 S50:T51 S53:T58 AF50:AK51 AF53:AK58</xm:sqref>
        </x14:dataValidation>
        <x14:dataValidation type="list" allowBlank="1" showInputMessage="1" showErrorMessage="1" xr:uid="{087F056A-552B-4B5C-9593-5B28EE417DBE}">
          <x14:formula1>
            <xm:f>'C:\Users\dyrojasn\Desktop\ODP\2026\41102-CLE-Len_Extranjera\[Formulación 41102 Formación de Lengua Extranjera 2026 v1-Ajustado PAA.xlsx]Programación- Seguimiento'!#REF!</xm:f>
          </x14:formula1>
          <xm:sqref>C50:C58</xm:sqref>
        </x14:dataValidation>
        <x14:dataValidation type="list" allowBlank="1" showInputMessage="1" showErrorMessage="1" xr:uid="{7941C9F8-8D06-41E6-A88D-F74959E0510B}">
          <x14:formula1>
            <xm:f>'C:\Users\smazcaratez\Downloads\[Ficha Versión No. 2 Vigencia 2026 (3) Ajustada.xlsx]Programación- Seguimiento'!#REF!</xm:f>
          </x14:formula1>
          <xm:sqref>C175:C186</xm:sqref>
        </x14:dataValidation>
        <x14:dataValidation type="list" allowBlank="1" showInputMessage="1" showErrorMessage="1" xr:uid="{DDCA391F-B6C6-4EF4-A7C8-9A193D91F1C8}">
          <x14:formula1>
            <xm:f>'C:\Users\smazcaratez\Downloads\[Ficha Versión No. 2 Vigencia 2026 (3) Ajustada.xlsx]Listas'!#REF!</xm:f>
          </x14:formula1>
          <xm:sqref>A175:A186 T175 T180:T181 P175:Q175 P180:Q181 P183:Q186 K175 K183:K186 K180:K181 W175:W181 W183:W186 S175:S181 S183:T186 H175:H186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6F9B-C94A-476D-8C8D-9A374BB1739C}">
  <sheetPr filterMode="1"/>
  <dimension ref="E2:J168"/>
  <sheetViews>
    <sheetView topLeftCell="A123" workbookViewId="0">
      <selection activeCell="J3" sqref="J3:J127"/>
    </sheetView>
  </sheetViews>
  <sheetFormatPr baseColWidth="10" defaultRowHeight="15"/>
  <cols>
    <col min="5" max="5" width="23.7109375" customWidth="1"/>
    <col min="6" max="6" width="57" customWidth="1"/>
    <col min="8" max="8" width="41.5703125" customWidth="1"/>
  </cols>
  <sheetData>
    <row r="2" spans="5:10">
      <c r="E2">
        <v>1</v>
      </c>
      <c r="F2">
        <v>2</v>
      </c>
      <c r="G2">
        <v>3</v>
      </c>
      <c r="H2">
        <v>4</v>
      </c>
      <c r="I2">
        <v>5</v>
      </c>
      <c r="J2">
        <v>6</v>
      </c>
    </row>
    <row r="3" spans="5:10">
      <c r="E3" s="99" t="str">
        <f>Hoja1!M8</f>
        <v>INV-43104-1</v>
      </c>
      <c r="F3" t="str">
        <f>Hoja1!O8</f>
        <v>Prestar el servicio de digitalización de series o subseries documentales, considerando la disposición final registrada en las Tablas de Valoración Documental - TVD.</v>
      </c>
      <c r="H3" t="str">
        <f>CONCATENATE(E3,F3)</f>
        <v>INV-43104-1Prestar el servicio de digitalización de series o subseries documentales, considerando la disposición final registrada en las Tablas de Valoración Documental - TVD.</v>
      </c>
      <c r="J3" t="str">
        <f>Hoja1!N8</f>
        <v>81112005;80111600</v>
      </c>
    </row>
    <row r="4" spans="5:10">
      <c r="E4" s="99" t="str">
        <f>Hoja1!M9</f>
        <v>INV-43104-2</v>
      </c>
      <c r="F4" t="str">
        <f>Hoja1!O9</f>
        <v>Prestar el servicio de intervención técnica archivística de series o subseries documentales, considerando la disposición final registrada en las Tablas de Valoración Documental - TVD.</v>
      </c>
      <c r="H4" t="str">
        <f t="shared" ref="H4:H43" si="0">CONCATENATE(E4,F4)</f>
        <v>INV-43104-2Prestar el servicio de intervención técnica archivística de series o subseries documentales, considerando la disposición final registrada en las Tablas de Valoración Documental - TVD.</v>
      </c>
      <c r="J4">
        <f>Hoja1!N9</f>
        <v>80111600</v>
      </c>
    </row>
    <row r="5" spans="5:10">
      <c r="E5" s="99" t="str">
        <f>Hoja1!M16</f>
        <v>INV-44101-6</v>
      </c>
      <c r="F5" t="str">
        <f>Hoja1!O16</f>
        <v>Prestar el servicio de entrega diaria de almuerzos subsidiados a los estudiantes de la Universidad Pedagógica Nacional matriculados en los programas que se desarrollan en la Universidad Pública de Kennedy – UPK durante el 2026-1.</v>
      </c>
      <c r="H5" t="str">
        <f t="shared" si="0"/>
        <v>INV-44101-6Prestar el servicio de entrega diaria de almuerzos subsidiados a los estudiantes de la Universidad Pedagógica Nacional matriculados en los programas que se desarrollan en la Universidad Pública de Kennedy – UPK durante el 2026-1.</v>
      </c>
      <c r="J5" t="str">
        <f>Hoja1!N16</f>
        <v>93131600;85151500</v>
      </c>
    </row>
    <row r="6" spans="5:10">
      <c r="E6" s="99" t="str">
        <f>Hoja1!M17</f>
        <v>INV-44101-7</v>
      </c>
      <c r="F6" t="str">
        <f>Hoja1!O17</f>
        <v>Prestar el servicio de entrega diaria de almuerzos subsidiados a los estudiantes de la Universidad Pedagógica Nacional matriculados en los programas que se desarrollan en la Universidad Pública de Kennedy – UPK durante el 2026-2.</v>
      </c>
      <c r="H6" t="str">
        <f t="shared" si="0"/>
        <v>INV-44101-7Prestar el servicio de entrega diaria de almuerzos subsidiados a los estudiantes de la Universidad Pedagógica Nacional matriculados en los programas que se desarrollan en la Universidad Pública de Kennedy – UPK durante el 2026-2.</v>
      </c>
      <c r="J6" t="str">
        <f>Hoja1!N17</f>
        <v>93131600;85151500</v>
      </c>
    </row>
    <row r="7" spans="5:10">
      <c r="E7" s="99" t="str">
        <f>Hoja1!M18</f>
        <v>INV-44101-8</v>
      </c>
      <c r="F7" t="str">
        <f>Hoja1!O18</f>
        <v>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H7" t="str">
        <f t="shared" si="0"/>
        <v>INV-44101-8Apoyar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J7" t="str">
        <f>Hoja1!N18</f>
        <v>80111600;85121608</v>
      </c>
    </row>
    <row r="8" spans="5:10">
      <c r="E8" s="99" t="str">
        <f>Hoja1!M19</f>
        <v>INV-44101-9</v>
      </c>
      <c r="F8" t="str">
        <f>Hoja1!O19</f>
        <v>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H8" t="str">
        <f t="shared" si="0"/>
        <v>INV-44101-9Apoyar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J8" t="str">
        <f>Hoja1!N19</f>
        <v>80111600;85121608</v>
      </c>
    </row>
    <row r="9" spans="5:10">
      <c r="E9" s="99" t="str">
        <f>Hoja1!M21</f>
        <v>INV-44101-11</v>
      </c>
      <c r="F9" t="str">
        <f>Hoja1!O21</f>
        <v>Prestar los servicios profesionales para realizar el seguimiento a la ejecución del Convenio Interadministrativo No.450 de 
2025 suscrito entre la UAESP y la UPN.</v>
      </c>
      <c r="H9" t="str">
        <f t="shared" si="0"/>
        <v>INV-44101-11Prestar los servicios profesionales para realizar el seguimiento a la ejecución del Convenio Interadministrativo No.450 de 
2025 suscrito entre la UAESP y la UPN.</v>
      </c>
      <c r="J9" t="str">
        <f>Hoja1!N21</f>
        <v>85121607;85121608;80111600</v>
      </c>
    </row>
    <row r="10" spans="5:10">
      <c r="E10" s="99" t="str">
        <f>Hoja1!M22</f>
        <v>INV-42102-1</v>
      </c>
      <c r="F10" t="str">
        <f>Hoja1!O22</f>
        <v>Prestar servicios de operador logístico para la planeación, organización, producción y ejecución de los eventos y actividades que se requieran en desarrollo de los proyectos internos de investigación de la vigencia 2026</v>
      </c>
      <c r="H10" t="str">
        <f t="shared" si="0"/>
        <v>INV-42102-1Prestar servicios de operador logístico para la planeación, organización, producción y ejecución de los eventos y actividades que se requieran en desarrollo de los proyectos internos de investigación de la vigencia 2026</v>
      </c>
      <c r="J10" t="str">
        <f>Hoja1!N22</f>
        <v>60101700; 60105800; 78101800; 78121500; 60121500; 60121200; 52161500</v>
      </c>
    </row>
    <row r="11" spans="5:10">
      <c r="E11" s="99" t="str">
        <f>Hoja1!M23</f>
        <v>INV-42102-2</v>
      </c>
      <c r="F11" t="str">
        <f>Hoja1!O23</f>
        <v>Prestar servicios de diseño,impresión,elaboración  y entrega de material institucional para el desarrollo de los proyectos internos de investigación de la vigencia 2026.</v>
      </c>
      <c r="H11" t="str">
        <f t="shared" si="0"/>
        <v>INV-42102-2Prestar servicios de diseño,impresión,elaboración  y entrega de material institucional para el desarrollo de los proyectos internos de investigación de la vigencia 2026.</v>
      </c>
      <c r="J11" t="str">
        <f>Hoja1!N23</f>
        <v xml:space="preserve">82141500;73151905;82111904 </v>
      </c>
    </row>
    <row r="12" spans="5:10">
      <c r="E12" s="99" t="str">
        <f>Hoja1!M24</f>
        <v>INV-42102-3</v>
      </c>
      <c r="F12" t="str">
        <f>Hoja1!O24</f>
        <v>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v>
      </c>
      <c r="H12" t="str">
        <f t="shared" si="0"/>
        <v>INV-42102-3Prestar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v>
      </c>
      <c r="J12" t="str">
        <f>Hoja1!N24</f>
        <v>73171511;72151603;80161507</v>
      </c>
    </row>
    <row r="13" spans="5:10">
      <c r="E13" s="99" t="str">
        <f>Hoja1!M25</f>
        <v>INV-42102-4</v>
      </c>
      <c r="F13" t="str">
        <f>Hoja1!O25</f>
        <v>Suministrar alimentación necesaria, en el desarrollo de las actividades de trabajo de campo y socialización de los proyectos internos de investigación de la vigencia 2026.</v>
      </c>
      <c r="H13" t="str">
        <f t="shared" si="0"/>
        <v>INV-42102-4Suministrar alimentación necesaria, en el desarrollo de las actividades de trabajo de campo y socialización de los proyectos internos de investigación de la vigencia 2026.</v>
      </c>
      <c r="J13" t="str">
        <f>Hoja1!N25</f>
        <v>90101500;90101700;93131608</v>
      </c>
    </row>
    <row r="14" spans="5:10">
      <c r="E14" s="99" t="str">
        <f>Hoja1!M26</f>
        <v>INV-42102-5</v>
      </c>
      <c r="F14" t="str">
        <f>Hoja1!O26</f>
        <v>Realizar el proceso de evaluación académica de las propuestas presentadas en la convocatoria  interna de investigación 2027, de la Subdirección de Gestión de Proyectos-CIUP.</v>
      </c>
      <c r="H14" t="str">
        <f t="shared" si="0"/>
        <v>INV-42102-5Realizar el proceso de evaluación académica de las propuestas presentadas en la convocatoria  interna de investigación 2027, de la Subdirección de Gestión de Proyectos-CIUP.</v>
      </c>
      <c r="J14">
        <f>Hoja1!N26</f>
        <v>80101500</v>
      </c>
    </row>
    <row r="15" spans="5:10">
      <c r="E15" s="99" t="str">
        <f>Hoja1!M28</f>
        <v>INV-42102-7</v>
      </c>
      <c r="F15" t="str">
        <f>Hoja1!O28</f>
        <v>Prestar servicios profesionales para nuevos desarrollos, mantenimiento y soporte de la plataforma de investigación para maestros y estudiantes PRIME.</v>
      </c>
      <c r="H15" t="str">
        <f t="shared" si="0"/>
        <v>INV-42102-7Prestar servicios profesionales para nuevos desarrollos, mantenimiento y soporte de la plataforma de investigación para maestros y estudiantes PRIME.</v>
      </c>
      <c r="J15" t="str">
        <f>Hoja1!N28</f>
        <v>81112209;81141902;81111812</v>
      </c>
    </row>
    <row r="16" spans="5:10">
      <c r="E16" s="99" t="str">
        <f>Hoja1!M37</f>
        <v>INV-42102-16</v>
      </c>
      <c r="F16" t="str">
        <f>Hoja1!O37</f>
        <v>Amparar la compra de elementos y material publicitario institucional para el desarrollo de eventos en el marco del proyecto ERASMUS+_2023.</v>
      </c>
      <c r="H16" t="str">
        <f t="shared" si="0"/>
        <v>INV-42102-16Amparar la compra de elementos y material publicitario institucional para el desarrollo de eventos en el marco del proyecto ERASMUS+_2023.</v>
      </c>
      <c r="J16" t="str">
        <f>Hoja1!N37</f>
        <v>82101500;82121500</v>
      </c>
    </row>
    <row r="17" spans="5:10">
      <c r="E17" s="99" t="str">
        <f>Hoja1!M38</f>
        <v>INV-42102-17</v>
      </c>
      <c r="F17" t="str">
        <f>Hoja1!O38</f>
        <v>Amparar los gastos de alimentación para el desarrollo de eventos en el marco del proyecto ERASMUS+_2023.</v>
      </c>
      <c r="H17" t="str">
        <f t="shared" si="0"/>
        <v>INV-42102-17Amparar los gastos de alimentación para el desarrollo de eventos en el marco del proyecto ERASMUS+_2023.</v>
      </c>
      <c r="J17" t="str">
        <f>Hoja1!N38</f>
        <v>90101700; 90101600</v>
      </c>
    </row>
    <row r="18" spans="5:10">
      <c r="E18" s="99" t="str">
        <f>Hoja1!M41</f>
        <v>INV-42102-20</v>
      </c>
      <c r="F18" t="str">
        <f>Hoja1!O41</f>
        <v>Prestar servicios profesionales como personal científico para brindar apoyo a la gestión en el desarrollo de las actividades de investigación directas del proyecto MIN-UPN-937-24.</v>
      </c>
      <c r="H18" t="str">
        <f t="shared" si="0"/>
        <v>INV-42102-20Prestar servicios profesionales como personal científico para brindar apoyo a la gestión en el desarrollo de las actividades de investigación directas del proyecto MIN-UPN-937-24.</v>
      </c>
      <c r="J18">
        <f>Hoja1!N41</f>
        <v>80111600</v>
      </c>
    </row>
    <row r="19" spans="5:10">
      <c r="E19" s="99" t="str">
        <f>Hoja1!M50</f>
        <v>INV-41102-1</v>
      </c>
      <c r="F19" t="str">
        <f>Hoja1!O50</f>
        <v>Adquirir códigos de acceso a plataforma del idioma  inglés, necesarios para  la realización del curso virtual de Lenguas Extranjeras para la vigencia 2026.</v>
      </c>
      <c r="H19" t="str">
        <f t="shared" si="0"/>
        <v>INV-41102-1Adquirir códigos de acceso a plataforma del idioma  inglés, necesarios para  la realización del curso virtual de Lenguas Extranjeras para la vigencia 2026.</v>
      </c>
      <c r="J19">
        <f>Hoja1!N50</f>
        <v>60103704</v>
      </c>
    </row>
    <row r="20" spans="5:10">
      <c r="E20" s="99" t="str">
        <f>Hoja1!M51</f>
        <v>INV-41102-2</v>
      </c>
      <c r="F20" t="str">
        <f>Hoja1!O51</f>
        <v>Adquirir códigos de acceso a plataforma del idioma  francés necesarios para la realización del curso virtual de Lenguas Extranjeras para la vigencia 2026.</v>
      </c>
      <c r="H20" t="str">
        <f t="shared" si="0"/>
        <v>INV-41102-2Adquirir códigos de acceso a plataforma del idioma  francés necesarios para la realización del curso virtual de Lenguas Extranjeras para la vigencia 2026.</v>
      </c>
      <c r="J20">
        <f>Hoja1!N51</f>
        <v>60103702</v>
      </c>
    </row>
    <row r="21" spans="5:10">
      <c r="E21" s="99" t="str">
        <f>Hoja1!M53</f>
        <v>INV-41102-3</v>
      </c>
      <c r="F21" t="str">
        <f>Hoja1!O53</f>
        <v>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H21" t="str">
        <f t="shared" si="0"/>
        <v>INV-41102-3Prestar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J21">
        <f>Hoja1!N53</f>
        <v>80111600</v>
      </c>
    </row>
    <row r="22" spans="5:10">
      <c r="E22" s="99" t="str">
        <f>Hoja1!M54</f>
        <v>INV-41102-4</v>
      </c>
      <c r="F22" t="str">
        <f>Hoja1!O54</f>
        <v>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H22" t="str">
        <f t="shared" si="0"/>
        <v>INV-41102-4Prestar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J22">
        <f>Hoja1!N54</f>
        <v>80111600</v>
      </c>
    </row>
    <row r="23" spans="5:10">
      <c r="E23" s="99" t="str">
        <f>Hoja1!M55</f>
        <v>INV-41102-5</v>
      </c>
      <c r="F23" t="str">
        <f>Hoja1!O55</f>
        <v>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H23" t="str">
        <f t="shared" si="0"/>
        <v>INV-41102-5Prestar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J23">
        <f>Hoja1!N55</f>
        <v>80111600</v>
      </c>
    </row>
    <row r="24" spans="5:10">
      <c r="E24" s="99" t="str">
        <f>Hoja1!M56</f>
        <v>INV-41102-6</v>
      </c>
      <c r="F24" t="str">
        <f>Hoja1!O56</f>
        <v>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H24" t="str">
        <f t="shared" si="0"/>
        <v>INV-41102-6Prestar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J24">
        <f>Hoja1!N56</f>
        <v>80111600</v>
      </c>
    </row>
    <row r="25" spans="5:10">
      <c r="E25" s="99" t="str">
        <f>Hoja1!M57</f>
        <v>INV-41102-7</v>
      </c>
      <c r="F25" t="str">
        <f>Hoja1!O57</f>
        <v>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v>
      </c>
      <c r="H25" t="str">
        <f t="shared" si="0"/>
        <v>INV-41102-7Prestar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v>
      </c>
      <c r="J25">
        <f>Hoja1!N57</f>
        <v>80111600</v>
      </c>
    </row>
    <row r="26" spans="5:10">
      <c r="E26" s="99" t="str">
        <f>Hoja1!M58</f>
        <v>INV-41102-8</v>
      </c>
      <c r="F26" t="str">
        <f>Hoja1!O58</f>
        <v>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v>
      </c>
      <c r="H26" t="str">
        <f t="shared" si="0"/>
        <v>INV-41102-8Prestar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v>
      </c>
      <c r="J26">
        <f>Hoja1!N58</f>
        <v>80111600</v>
      </c>
    </row>
    <row r="27" spans="5:10">
      <c r="E27" s="99" t="str">
        <f>Hoja1!M59</f>
        <v>INV-43201-1</v>
      </c>
      <c r="F27" t="str">
        <f>Hoja1!O59</f>
        <v>Realizar la Fase II de las adecuaciones de Ecorooms en las Instalaciones de Valmaría de la Universidad Pedagógica Nacional"</v>
      </c>
      <c r="H27" t="str">
        <f t="shared" si="0"/>
        <v>INV-43201-1Realizar la Fase II de las adecuaciones de Ecorooms en las Instalaciones de Valmaría de la Universidad Pedagógica Nacional"</v>
      </c>
      <c r="J27" t="str">
        <f>Hoja1!N59</f>
        <v>72101500;81101500;72151500, 72151900</v>
      </c>
    </row>
    <row r="28" spans="5:10">
      <c r="E28" s="99" t="str">
        <f>Hoja1!M60</f>
        <v>INV-43201-2</v>
      </c>
      <c r="F28" t="str">
        <f>Hoja1!O60</f>
        <v>Realizar las adecuaciones generales para la zona de bicicleteros en las instalaciones de Valmaría de la Universidad Pedagógica Nacional</v>
      </c>
      <c r="H28" t="str">
        <f t="shared" si="0"/>
        <v>INV-43201-2Realizar las adecuaciones generales para la zona de bicicleteros en las instalaciones de Valmaría de la Universidad Pedagógica Nacional</v>
      </c>
      <c r="J28" t="str">
        <f>Hoja1!N60</f>
        <v>72101500;81101500;72152900</v>
      </c>
    </row>
    <row r="29" spans="5:10">
      <c r="E29" s="99" t="str">
        <f>Hoja1!M61</f>
        <v>INV-43201-3</v>
      </c>
      <c r="F29" t="str">
        <f>Hoja1!O61</f>
        <v>Realizar la fase II de las adecuaciones de voz, datos y redes eléctricas de las instalaciones de Valmaría de la Universidad Pedagógica Nacional</v>
      </c>
      <c r="H29" t="str">
        <f t="shared" si="0"/>
        <v>INV-43201-3Realizar la fase II de las adecuaciones de voz, datos y redes eléctricas de las instalaciones de Valmaría de la Universidad Pedagógica Nacional</v>
      </c>
      <c r="J29" t="str">
        <f>Hoja1!N61</f>
        <v>72101500;81101500</v>
      </c>
    </row>
    <row r="30" spans="5:10">
      <c r="E30" s="99" t="str">
        <f>Hoja1!M62</f>
        <v>INV-43201-4</v>
      </c>
      <c r="F30" t="str">
        <f>Hoja1!O62</f>
        <v>Realizar la siembra de un corredor ecológico con el fin de controlar los rebrotes de retamo espinoso en las instalaciones de Valmaría de la Universidad Pedagógica Nacional</v>
      </c>
      <c r="H30" t="str">
        <f t="shared" si="0"/>
        <v>INV-43201-4Realizar la siembra de un corredor ecológico con el fin de controlar los rebrotes de retamo espinoso en las instalaciones de Valmaría de la Universidad Pedagógica Nacional</v>
      </c>
      <c r="J30" t="str">
        <f>Hoja1!N62</f>
        <v>76121600; 70151900; 70111700</v>
      </c>
    </row>
    <row r="31" spans="5:10">
      <c r="E31" s="99" t="str">
        <f>Hoja1!M63</f>
        <v>INV-43201-5</v>
      </c>
      <c r="F31" t="str">
        <f>Hoja1!O63</f>
        <v>Realizar el control vegetativo en las zonas verdes de las
instalaciones de Valmaría de la Universidad Pedagógica Nacional</v>
      </c>
      <c r="H31" t="str">
        <f t="shared" si="0"/>
        <v>INV-43201-5Realizar el control vegetativo en las zonas verdes de las
instalaciones de Valmaría de la Universidad Pedagógica Nacional</v>
      </c>
      <c r="J31">
        <f>Hoja1!N63</f>
        <v>70111503</v>
      </c>
    </row>
    <row r="32" spans="5:10">
      <c r="E32" s="99" t="str">
        <f>Hoja1!M64</f>
        <v>INV-43201-6</v>
      </c>
      <c r="F32" t="str">
        <f>Hoja1!O64</f>
        <v>Realizar la intervención perimetral de los vallados existentes en el predio Valmaría de la Universidad Pedagógica Nacional</v>
      </c>
      <c r="H32" t="str">
        <f t="shared" si="0"/>
        <v>INV-43201-6Realizar la intervención perimetral de los vallados existentes en el predio Valmaría de la Universidad Pedagógica Nacional</v>
      </c>
      <c r="J32" t="str">
        <f>Hoja1!N64</f>
        <v>70131500, 77101700,77121500,77121600</v>
      </c>
    </row>
    <row r="33" spans="5:10">
      <c r="E33" s="99" t="str">
        <f>Hoja1!M65</f>
        <v>INV-43201-7</v>
      </c>
      <c r="F33" t="str">
        <f>Hoja1!O65</f>
        <v>Realizar la intervención ambiental al cuerpo de agua del lago ubicado en el predio de Valmaría de la Universidad Pedagógica Nacional</v>
      </c>
      <c r="H33" t="str">
        <f t="shared" si="0"/>
        <v>INV-43201-7Realizar la intervención ambiental al cuerpo de agua del lago ubicado en el predio de Valmaría de la Universidad Pedagógica Nacional</v>
      </c>
      <c r="J33" t="str">
        <f>Hoja1!N65</f>
        <v>77121700,70131500,70111700</v>
      </c>
    </row>
    <row r="34" spans="5:10">
      <c r="E34" s="99" t="str">
        <f>Hoja1!M66</f>
        <v>INV-43201-8</v>
      </c>
      <c r="F34" t="str">
        <f>Hoja1!O66</f>
        <v>Realizar las adecuaciones generales de la mallas de la cancha de futbol, área del lago, de las instalaciones de Valmaría de la Universidad Pedagógica Nacional</v>
      </c>
      <c r="H34" t="str">
        <f t="shared" si="0"/>
        <v>INV-43201-8Realizar las adecuaciones generales de la mallas de la cancha de futbol, área del lago, de las instalaciones de Valmaría de la Universidad Pedagógica Nacional</v>
      </c>
      <c r="J34" t="str">
        <f>Hoja1!N66</f>
        <v>72101500;81101500</v>
      </c>
    </row>
    <row r="35" spans="5:10">
      <c r="E35" s="99" t="str">
        <f>Hoja1!M67</f>
        <v>INV-43201-9</v>
      </c>
      <c r="F35" t="str">
        <f>Hoja1!O67</f>
        <v xml:space="preserve">Adquirir elementos para la piscina de la Facultad de Educación Física  de la Universidad Pedagógica Nacional </v>
      </c>
      <c r="H35" t="str">
        <f t="shared" si="0"/>
        <v xml:space="preserve">INV-43201-9Adquirir elementos para la piscina de la Facultad de Educación Física  de la Universidad Pedagógica Nacional </v>
      </c>
      <c r="J35">
        <f>Hoja1!N67</f>
        <v>49241700</v>
      </c>
    </row>
    <row r="36" spans="5:10">
      <c r="E36" s="99" t="str">
        <f>Hoja1!M68</f>
        <v>INV-43201-10</v>
      </c>
      <c r="F36" t="str">
        <f>Hoja1!O68</f>
        <v>Realizar la adecuación del Kiosko de información y bateria sanitaria para visitantes en las instalaciones de Valmaría de la Universidad Pedagógica Nacional</v>
      </c>
      <c r="H36" t="str">
        <f t="shared" si="0"/>
        <v>INV-43201-10Realizar la adecuación del Kiosko de información y bateria sanitaria para visitantes en las instalaciones de Valmaría de la Universidad Pedagógica Nacional</v>
      </c>
      <c r="J36" t="str">
        <f>Hoja1!N68</f>
        <v>72101500;81101500</v>
      </c>
    </row>
    <row r="37" spans="5:10">
      <c r="E37" s="99" t="str">
        <f>Hoja1!M69</f>
        <v>INV-43201-11</v>
      </c>
      <c r="F37" t="str">
        <f>Hoja1!O69</f>
        <v>Realizar las adecuaciones necesarias para garantizar el buen funcionamiento del carreteable en las instalaciones de Valmaría de la Universidad Pedagógica Nacional</v>
      </c>
      <c r="H37" t="str">
        <f t="shared" si="0"/>
        <v>INV-43201-11Realizar las adecuaciones necesarias para garantizar el buen funcionamiento del carreteable en las instalaciones de Valmaría de la Universidad Pedagógica Nacional</v>
      </c>
      <c r="J37" t="str">
        <f>Hoja1!N69</f>
        <v>72101500;81101500</v>
      </c>
    </row>
    <row r="38" spans="5:10">
      <c r="E38" s="99" t="str">
        <f>Hoja1!M70</f>
        <v>INV-43201-12</v>
      </c>
      <c r="F38" t="str">
        <f>Hoja1!O70</f>
        <v>Realizar las adecuaciones necesarias para garantizar el buen funcionamiento de la cancha de voleyplaya en las instalaciones de Valmaría de la Universidad pedagógica Nacional</v>
      </c>
      <c r="H38" t="str">
        <f t="shared" si="0"/>
        <v>INV-43201-12Realizar las adecuaciones necesarias para garantizar el buen funcionamiento de la cancha de voleyplaya en las instalaciones de Valmaría de la Universidad pedagógica Nacional</v>
      </c>
      <c r="J38" t="str">
        <f>Hoja1!N70</f>
        <v>72101500;81101500</v>
      </c>
    </row>
    <row r="39" spans="5:10">
      <c r="E39" s="99" t="str">
        <f>Hoja1!M71</f>
        <v>INV-43201-13</v>
      </c>
      <c r="F39" t="str">
        <f>Hoja1!O71</f>
        <v xml:space="preserve">Realizar la adecuación del cerramiento que genera afectación a la via reportada por la Junta accion comunal San Jose Bavaria de las instalaciones de Valmaría de la Universidad Pedagógica Nacional </v>
      </c>
      <c r="H39" t="str">
        <f t="shared" si="0"/>
        <v xml:space="preserve">INV-43201-13Realizar la adecuación del cerramiento que genera afectación a la via reportada por la Junta accion comunal San Jose Bavaria de las instalaciones de Valmaría de la Universidad Pedagógica Nacional </v>
      </c>
      <c r="J39" t="str">
        <f>Hoja1!N71</f>
        <v>72101500;81101500</v>
      </c>
    </row>
    <row r="40" spans="5:10">
      <c r="E40" s="99" t="str">
        <f>Hoja1!M72</f>
        <v>INV-43201-14</v>
      </c>
      <c r="F40" t="str">
        <f>Hoja1!O72</f>
        <v>Adquirir e instalar secadores electricos para baterias de baños y televisores para aulas modulares etapa II en las instalaciones de Valmaría de la Universidad Pedagógica Nacional</v>
      </c>
      <c r="H40" t="str">
        <f t="shared" si="0"/>
        <v>INV-43201-14Adquirir e instalar secadores electricos para baterias de baños y televisores para aulas modulares etapa II en las instalaciones de Valmaría de la Universidad Pedagógica Nacional</v>
      </c>
      <c r="J40" t="str">
        <f>Hoja1!N72</f>
        <v>52161505;48101516 ;23201202</v>
      </c>
    </row>
    <row r="41" spans="5:10">
      <c r="E41" s="99" t="str">
        <f>Hoja1!M74</f>
        <v>INV-43201-15</v>
      </c>
      <c r="F41" t="str">
        <f>Hoja1!O74</f>
        <v>Realizar consultoría para elaboración de estudios, diseño y permisos de vertimientos de PTAR en las instalaciones de Valmaría de la Universidad Pedagógica Nacional</v>
      </c>
      <c r="H41" t="str">
        <f t="shared" si="0"/>
        <v>INV-43201-15Realizar consultoría para elaboración de estudios, diseño y permisos de vertimientos de PTAR en las instalaciones de Valmaría de la Universidad Pedagógica Nacional</v>
      </c>
      <c r="J41">
        <f>Hoja1!N74</f>
        <v>81101500</v>
      </c>
    </row>
    <row r="42" spans="5:10">
      <c r="E42" s="99" t="str">
        <f>Hoja1!M75</f>
        <v>INV-43201-16</v>
      </c>
      <c r="F42" t="str">
        <f>Hoja1!O75</f>
        <v>Realizar adecuaciones generales para mejorar el sistema de desagüe de aguas lluvia y aguas negras en las instalaciones de Valmaría de la Universidad Pedagógica Nacional</v>
      </c>
      <c r="H42" t="str">
        <f t="shared" si="0"/>
        <v>INV-43201-16Realizar adecuaciones generales para mejorar el sistema de desagüe de aguas lluvia y aguas negras en las instalaciones de Valmaría de la Universidad Pedagógica Nacional</v>
      </c>
      <c r="J42" t="str">
        <f>Hoja1!N75</f>
        <v>72101500;81101500</v>
      </c>
    </row>
    <row r="43" spans="5:10">
      <c r="E43" s="99" t="str">
        <f>Hoja1!M76</f>
        <v>INV-43201-17</v>
      </c>
      <c r="F43" t="str">
        <f>Hoja1!O76</f>
        <v>Realizar un estudio de vulnerabilidad sismica  en las instalaciones de Valmaría de la Universidad Pedagógica Nacional</v>
      </c>
      <c r="H43" t="str">
        <f t="shared" si="0"/>
        <v>INV-43201-17Realizar un estudio de vulnerabilidad sismica  en las instalaciones de Valmaría de la Universidad Pedagógica Nacional</v>
      </c>
      <c r="J43">
        <f>Hoja1!N76</f>
        <v>81101500</v>
      </c>
    </row>
    <row r="44" spans="5:10">
      <c r="E44" s="99" t="str">
        <f>Hoja1!M77</f>
        <v>INV-43201-18</v>
      </c>
      <c r="F44" t="str">
        <f>Hoja1!O77</f>
        <v xml:space="preserve">Realizar la demolición de las invasiones y realizar el cerramiento provisional en las instalaciones de Valmaría de la Universidad Pedagógica Nacional </v>
      </c>
      <c r="H44" t="str">
        <f t="shared" ref="H44:H87" si="1">CONCATENATE(E44,F44)</f>
        <v xml:space="preserve">INV-43201-18Realizar la demolición de las invasiones y realizar el cerramiento provisional en las instalaciones de Valmaría de la Universidad Pedagógica Nacional </v>
      </c>
      <c r="J44" t="str">
        <f>Hoja1!N77</f>
        <v>72101500;81101500</v>
      </c>
    </row>
    <row r="45" spans="5:10">
      <c r="E45" s="99" t="str">
        <f>Hoja1!M78</f>
        <v>INV-43201-19</v>
      </c>
      <c r="F45" t="str">
        <f>Hoja1!O78</f>
        <v xml:space="preserve">Adquirir e instalar un sistema de monitoreo descargas atmosféricas en las instalaciones de Valmaría de la Universidad Pedagógica Nacional </v>
      </c>
      <c r="H45" t="str">
        <f t="shared" si="1"/>
        <v xml:space="preserve">INV-43201-19Adquirir e instalar un sistema de monitoreo descargas atmosféricas en las instalaciones de Valmaría de la Universidad Pedagógica Nacional </v>
      </c>
      <c r="J45">
        <f>Hoja1!N78</f>
        <v>77121500</v>
      </c>
    </row>
    <row r="46" spans="5:10">
      <c r="E46" s="99" t="str">
        <f>Hoja1!M79</f>
        <v>INV-43201-20</v>
      </c>
      <c r="F46" t="str">
        <f>Hoja1!O79</f>
        <v>Prestar los servicios profesionales especializados para las actividades de planeación, estructuración y seguimiento de las intervenciones y adecuaciones de Infraestructura Física y apoyo en la supervisión de los contratos suscritos en el marco de los proyectos a cargo del Grupo Interno de Trabajo de Infraestructura Física de la Universidad Pedagógica Nacional.</v>
      </c>
      <c r="H46" t="str">
        <f t="shared" si="1"/>
        <v>INV-43201-20Prestar los servicios profesionales especializados para las actividades de planeación, estructuración y seguimiento de las intervenciones y adecuaciones de Infraestructura Física y apoyo en la supervisión de los contratos suscritos en el marco de los proyectos a cargo del Grupo Interno de Trabajo de Infraestructura Física de la Universidad Pedagógica Nacional.</v>
      </c>
      <c r="J46">
        <f>Hoja1!N79</f>
        <v>80111600</v>
      </c>
    </row>
    <row r="47" spans="5:10">
      <c r="E47" s="99" t="str">
        <f>Hoja1!M80</f>
        <v>INV-43201-21</v>
      </c>
      <c r="F47" t="str">
        <f>Hoja1!O80</f>
        <v>Prestar servicios profesionales para la planeación y ejecución de las intervenciones eléctricas de los proyectos de reparación locativa, adecuación y mejoramiento correspondiente a las funciones del Grupo de Infraestructura Física de la Universidad Pedagógica Nacional.</v>
      </c>
      <c r="H47" t="str">
        <f t="shared" si="1"/>
        <v>INV-43201-21Prestar servicios profesionales para la planeación y ejecución de las intervenciones eléctricas de los proyectos de reparación locativa, adecuación y mejoramiento correspondiente a las funciones del Grupo de Infraestructura Física de la Universidad Pedagógica Nacional.</v>
      </c>
      <c r="J47">
        <f>Hoja1!N80</f>
        <v>80111600</v>
      </c>
    </row>
    <row r="48" spans="5:10">
      <c r="E48" s="99" t="str">
        <f>Hoja1!M81</f>
        <v>INV-43103-1</v>
      </c>
      <c r="F48" t="str">
        <f>Hoja1!O81</f>
        <v>Adquirir el código de acceso a través de la Base de Datos  Bibliográfica Ebsco, requerida por la Universidad para ampliar la cobertura de consulta tanto a Docentes, Investigadores y Estudiantes.</v>
      </c>
      <c r="H48" t="str">
        <f t="shared" si="1"/>
        <v>INV-43103-1Adquirir el código de acceso a través de la Base de Datos  Bibliográfica Ebsco, requerida por la Universidad para ampliar la cobertura de consulta tanto a Docentes, Investigadores y Estudiantes.</v>
      </c>
      <c r="J48" t="str">
        <f>Hoja1!N81</f>
        <v>43232609;43232200</v>
      </c>
    </row>
    <row r="49" spans="5:10">
      <c r="E49" s="99" t="str">
        <f>Hoja1!M82</f>
        <v>INV-43103-2</v>
      </c>
      <c r="F49" t="str">
        <f>Hoja1!O82</f>
        <v>Adquirir el código de acceso a la herramienta web Turnitin para la verificación de similitud de los trabajos, con el fin de rastrear los trabajos para evitar el plagio y en general conservar y acrecentar el prestigio académico e investigativo de la Universidad Pedagógica</v>
      </c>
      <c r="H49" t="str">
        <f t="shared" si="1"/>
        <v>INV-43103-2Adquirir el código de acceso a la herramienta web Turnitin para la verificación de similitud de los trabajos, con el fin de rastrear los trabajos para evitar el plagio y en general conservar y acrecentar el prestigio académico e investigativo de la Universidad Pedagógica</v>
      </c>
      <c r="J49" t="str">
        <f>Hoja1!N82</f>
        <v>43232609; 43232300</v>
      </c>
    </row>
    <row r="50" spans="5:10">
      <c r="E50" s="99" t="str">
        <f>Hoja1!M83</f>
        <v>INV-43103-3</v>
      </c>
      <c r="F50" t="str">
        <f>Hoja1!O83</f>
        <v>Adquirir el código de acceso a contenidos a través de la Base de Datos Bibliográfica Web of Science, requerida por la Universidad para ampliar la cobertura de consulta tanto a Docentes, Investigadores y Estudiantes.</v>
      </c>
      <c r="H50" t="str">
        <f t="shared" si="1"/>
        <v>INV-43103-3Adquirir el código de acceso a contenidos a través de la Base de Datos Bibliográfica Web of Science, requerida por la Universidad para ampliar la cobertura de consulta tanto a Docentes, Investigadores y Estudiantes.</v>
      </c>
      <c r="J50" t="str">
        <f>Hoja1!N83</f>
        <v>43232609; 43232300</v>
      </c>
    </row>
    <row r="51" spans="5:10">
      <c r="E51" s="99" t="str">
        <f>Hoja1!M84</f>
        <v>INV-43103-4</v>
      </c>
      <c r="F51" t="str">
        <f>Hoja1!O84</f>
        <v>Adquirir el código de acceso a través de la Base de Datos Bibliográfica Scopus, requerida por la Universidad para ampliar la cobertura de consulta tanto a Docentes, Investigadores y Estudiantes.</v>
      </c>
      <c r="H51" t="str">
        <f t="shared" si="1"/>
        <v>INV-43103-4Adquirir el código de acceso a través de la Base de Datos Bibliográfica Scopus, requerida por la Universidad para ampliar la cobertura de consulta tanto a Docentes, Investigadores y Estudiantes.</v>
      </c>
      <c r="J51" t="str">
        <f>Hoja1!N84</f>
        <v>43232609; 43232300</v>
      </c>
    </row>
    <row r="52" spans="5:10">
      <c r="E52" s="99" t="str">
        <f>Hoja1!M85</f>
        <v>INV-43103-5</v>
      </c>
      <c r="F52" t="str">
        <f>Hoja1!O85</f>
        <v>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v>
      </c>
      <c r="H52" t="str">
        <f t="shared" si="1"/>
        <v>INV-43103-5Adquirir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v>
      </c>
      <c r="J52" t="str">
        <f>Hoja1!N85</f>
        <v>43232609; 43232300</v>
      </c>
    </row>
    <row r="53" spans="5:10">
      <c r="E53" s="99" t="str">
        <f>Hoja1!M86</f>
        <v>INV-43103-6</v>
      </c>
      <c r="F53" t="str">
        <f>Hoja1!O86</f>
        <v>Adquirir el acceso para la administración y alojamiento del software de autenticación y acceso, requerido por la Universidad para controlar el acceso a las Bases de Datos Bibliográficas.</v>
      </c>
      <c r="H53" t="str">
        <f t="shared" si="1"/>
        <v>INV-43103-6Adquirir el acceso para la administración y alojamiento del software de autenticación y acceso, requerido por la Universidad para controlar el acceso a las Bases de Datos Bibliográficas.</v>
      </c>
      <c r="J53" t="str">
        <f>Hoja1!N86</f>
        <v>43232609; 43232300</v>
      </c>
    </row>
    <row r="54" spans="5:10">
      <c r="E54" s="99" t="str">
        <f>Hoja1!M87</f>
        <v>INV-43103-7</v>
      </c>
      <c r="F54" t="str">
        <f>Hoja1!O87</f>
        <v>Adquirir el acceso al sistema Web que permite la administración de estadísticas de las Bases de Datos Bibliográficas requerida por la Universidad para su control de usabilidad por programa y elaboración de informes, reportes e indicadores.</v>
      </c>
      <c r="H54" t="str">
        <f t="shared" si="1"/>
        <v>INV-43103-7Adquirir el acceso al sistema Web que permite la administración de estadísticas de las Bases de Datos Bibliográficas requerida por la Universidad para su control de usabilidad por programa y elaboración de informes, reportes e indicadores.</v>
      </c>
      <c r="J54" t="str">
        <f>Hoja1!N87</f>
        <v>43232609; 43232300</v>
      </c>
    </row>
    <row r="55" spans="5:10">
      <c r="E55" s="99" t="str">
        <f>Hoja1!M88</f>
        <v>INV-43103-8</v>
      </c>
      <c r="F55" t="str">
        <f>Hoja1!O88</f>
        <v>Adquirir el código de acceso a Bases de Datos especializadas en recursos sonoros, información textual y herramientas especializadas en educación musical para propósitos de consulta e investigación, con manejo de Proveedor exclusivo.</v>
      </c>
      <c r="H55" t="str">
        <f t="shared" si="1"/>
        <v>INV-43103-8Adquirir el código de acceso a Bases de Datos especializadas en recursos sonoros, información textual y herramientas especializadas en educación musical para propósitos de consulta e investigación, con manejo de Proveedor exclusivo.</v>
      </c>
      <c r="J55" t="str">
        <f>Hoja1!N88</f>
        <v>43232609; 43232300</v>
      </c>
    </row>
    <row r="56" spans="5:10">
      <c r="E56" s="99" t="str">
        <f>Hoja1!M89</f>
        <v>INV-43103-9</v>
      </c>
      <c r="F56" t="str">
        <f>Hoja1!O89</f>
        <v>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v>
      </c>
      <c r="H56" t="str">
        <f t="shared" si="1"/>
        <v>INV-43103-9Conceder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v>
      </c>
      <c r="J56" t="str">
        <f>Hoja1!N89</f>
        <v>43232609; 43232300</v>
      </c>
    </row>
    <row r="57" spans="5:10">
      <c r="E57" s="99" t="str">
        <f>Hoja1!M90</f>
        <v>INV-43103-10</v>
      </c>
      <c r="F57" t="str">
        <f>Hoja1!O90</f>
        <v>Adquirir el servicio a la Plataforma del Repositorio Institucional UPN, requerido por la Universidad para dar visibilidad y acceso de consulta a la comunidad Universitaria del material especializado como Investigaciones, tesis y/o Documentos Institucionales.</v>
      </c>
      <c r="H57" t="str">
        <f t="shared" si="1"/>
        <v>INV-43103-10Adquirir el servicio a la Plataforma del Repositorio Institucional UPN, requerido por la Universidad para dar visibilidad y acceso de consulta a la comunidad Universitaria del material especializado como Investigaciones, tesis y/o Documentos Institucionales.</v>
      </c>
      <c r="J57" t="str">
        <f>Hoja1!N90</f>
        <v>43232609; 43232300</v>
      </c>
    </row>
    <row r="58" spans="5:10">
      <c r="E58" s="99" t="str">
        <f>Hoja1!M92</f>
        <v>INV-43103-11</v>
      </c>
      <c r="F58" t="str">
        <f>Hoja1!O92</f>
        <v xml:space="preserve">Realizar la compra de material bibliográfico impreso para el desarrollo de Colecciones </v>
      </c>
      <c r="H58" t="str">
        <f t="shared" si="1"/>
        <v xml:space="preserve">INV-43103-11Realizar la compra de material bibliográfico impreso para el desarrollo de Colecciones </v>
      </c>
      <c r="J58" t="str">
        <f>Hoja1!N92</f>
        <v xml:space="preserve"> 55101524, 60102310, 55110000</v>
      </c>
    </row>
    <row r="59" spans="5:10">
      <c r="E59" s="99" t="str">
        <f>Hoja1!M97</f>
        <v>INV-44102-5</v>
      </c>
      <c r="F59" t="str">
        <f>Hoja1!O97</f>
        <v>Adquirir códigos de acceso a plataforma del idioma inglés, necesarios para  adelantar los procesos de formación, en el marco programa de Atenea JE2 - Línea Segunda Lengua</v>
      </c>
      <c r="H59" t="str">
        <f t="shared" si="1"/>
        <v>INV-44102-5Adquirir códigos de acceso a plataforma del idioma inglés, necesarios para  adelantar los procesos de formación, en el marco programa de Atenea JE2 - Línea Segunda Lengua</v>
      </c>
      <c r="J59">
        <f>Hoja1!N97</f>
        <v>60103704</v>
      </c>
    </row>
    <row r="60" spans="5:10">
      <c r="E60" s="99" t="str">
        <f>Hoja1!M98</f>
        <v>INV-44102-6</v>
      </c>
      <c r="F60" t="str">
        <f>Hoja1!O98</f>
        <v>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H60" t="str">
        <f t="shared" si="1"/>
        <v>INV-44102-6Prestar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J60">
        <f>Hoja1!N98</f>
        <v>80111600</v>
      </c>
    </row>
    <row r="61" spans="5:10">
      <c r="E61" s="99" t="str">
        <f>Hoja1!M99</f>
        <v>INV-44102-7</v>
      </c>
      <c r="F61" t="str">
        <f>Hoja1!O99</f>
        <v>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H61" t="str">
        <f t="shared" si="1"/>
        <v>INV-44102-7Prestar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J61">
        <f>Hoja1!N99</f>
        <v>80111600</v>
      </c>
    </row>
    <row r="62" spans="5:10">
      <c r="E62" s="99" t="str">
        <f>Hoja1!M100</f>
        <v>INV-44102-8</v>
      </c>
      <c r="F62" t="str">
        <f>Hoja1!O100</f>
        <v>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H62" t="str">
        <f t="shared" si="1"/>
        <v>INV-44102-8Prestar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J62">
        <f>Hoja1!N100</f>
        <v>80111600</v>
      </c>
    </row>
    <row r="63" spans="5:10">
      <c r="E63" s="99" t="str">
        <f>Hoja1!M101</f>
        <v>INV-44102-9</v>
      </c>
      <c r="F63" t="str">
        <f>Hoja1!O101</f>
        <v>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H63" t="str">
        <f t="shared" si="1"/>
        <v>INV-44102-9Prestar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J63">
        <f>Hoja1!N101</f>
        <v>80111600</v>
      </c>
    </row>
    <row r="64" spans="5:10">
      <c r="E64" s="99" t="str">
        <f>Hoja1!M102</f>
        <v>INV-44102-10</v>
      </c>
      <c r="F64" t="str">
        <f>Hoja1!O102</f>
        <v>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H64" t="str">
        <f t="shared" si="1"/>
        <v>INV-44102-10Prestar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J64">
        <f>Hoja1!N102</f>
        <v>80111600</v>
      </c>
    </row>
    <row r="65" spans="5:10">
      <c r="E65" s="99" t="str">
        <f>Hoja1!M103</f>
        <v>INV-44102-11</v>
      </c>
      <c r="F65" t="str">
        <f>Hoja1!O103</f>
        <v>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H65" t="str">
        <f t="shared" si="1"/>
        <v>INV-44102-11Prestar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J65">
        <f>Hoja1!N103</f>
        <v>80111600</v>
      </c>
    </row>
    <row r="66" spans="5:10">
      <c r="E66" s="99" t="str">
        <f>Hoja1!M104</f>
        <v>INV-44102-12</v>
      </c>
      <c r="F66" t="str">
        <f>Hoja1!O104</f>
        <v>Adquirir códigos de acceso a plataforma del idioma inglés, necesarios para  adelantar los procesos de formación, en el marco programa de Atenea JE3- Línea Segunda Lengua</v>
      </c>
      <c r="H66" t="str">
        <f t="shared" si="1"/>
        <v>INV-44102-12Adquirir códigos de acceso a plataforma del idioma inglés, necesarios para  adelantar los procesos de formación, en el marco programa de Atenea JE3- Línea Segunda Lengua</v>
      </c>
      <c r="J66">
        <f>Hoja1!N104</f>
        <v>60103704</v>
      </c>
    </row>
    <row r="67" spans="5:10">
      <c r="E67" s="99" t="str">
        <f>Hoja1!M105</f>
        <v>INV-44102-13</v>
      </c>
      <c r="F67" t="str">
        <f>Hoja1!O105</f>
        <v>Adquirir exámenes de clasificación necesarios para  adelantar los procesos de formación, en el marco  programa de Atenea - Línea Segunda Lengua-JE3</v>
      </c>
      <c r="H67" t="str">
        <f t="shared" si="1"/>
        <v>INV-44102-13Adquirir exámenes de clasificación necesarios para  adelantar los procesos de formación, en el marco  programa de Atenea - Línea Segunda Lengua-JE3</v>
      </c>
      <c r="J67">
        <f>Hoja1!N105</f>
        <v>60103704</v>
      </c>
    </row>
    <row r="68" spans="5:10">
      <c r="E68" s="99" t="str">
        <f>Hoja1!M106</f>
        <v>INV-44102-14</v>
      </c>
      <c r="F68" t="str">
        <f>Hoja1!O106</f>
        <v>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H68" t="str">
        <f t="shared" si="1"/>
        <v>INV-44102-14Prestar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J68">
        <f>Hoja1!N106</f>
        <v>80111600</v>
      </c>
    </row>
    <row r="69" spans="5:10">
      <c r="E69" s="99" t="str">
        <f>Hoja1!M107</f>
        <v>INV-44102-15</v>
      </c>
      <c r="F69" t="str">
        <f>Hoja1!O107</f>
        <v>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H69" t="str">
        <f t="shared" si="1"/>
        <v>INV-44102-15Prestar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J69">
        <f>Hoja1!N107</f>
        <v>80111600</v>
      </c>
    </row>
    <row r="70" spans="5:10">
      <c r="E70" s="99" t="str">
        <f>Hoja1!M108</f>
        <v>INV-44102-16</v>
      </c>
      <c r="F70" t="str">
        <f>Hoja1!O108</f>
        <v>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H70" t="str">
        <f t="shared" si="1"/>
        <v>INV-44102-16Prestar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J70">
        <f>Hoja1!N108</f>
        <v>80111600</v>
      </c>
    </row>
    <row r="71" spans="5:10">
      <c r="E71" s="99" t="str">
        <f>Hoja1!M109</f>
        <v>INV-44102-17</v>
      </c>
      <c r="F71" t="str">
        <f>Hoja1!O109</f>
        <v>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H71" t="str">
        <f t="shared" si="1"/>
        <v>INV-44102-17Prestar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J71">
        <f>Hoja1!N109</f>
        <v>80111600</v>
      </c>
    </row>
    <row r="72" spans="5:10">
      <c r="E72" s="99" t="str">
        <f>Hoja1!M110</f>
        <v>INV-44102-18</v>
      </c>
      <c r="F72" t="str">
        <f>Hoja1!O110</f>
        <v>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H72" t="str">
        <f t="shared" si="1"/>
        <v>INV-44102-18Prestar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J72">
        <f>Hoja1!N110</f>
        <v>80111600</v>
      </c>
    </row>
    <row r="73" spans="5:10">
      <c r="E73" s="99" t="str">
        <f>Hoja1!M111</f>
        <v>INV-44102-19</v>
      </c>
      <c r="F73" t="str">
        <f>Hoja1!O111</f>
        <v>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H73" t="str">
        <f t="shared" si="1"/>
        <v>INV-44102-19Prestar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J73">
        <f>Hoja1!N111</f>
        <v>80111600</v>
      </c>
    </row>
    <row r="74" spans="5:10">
      <c r="E74" s="99" t="str">
        <f>Hoja1!M127</f>
        <v>INV-44102-35</v>
      </c>
      <c r="F74" t="str">
        <f>Hoja1!O127</f>
        <v>Prestar los servicios profesionales en psicología, para seguimiento psicosocial y pedagógico a los jovenes del convenio 534-2025 JE3.</v>
      </c>
      <c r="H74" t="str">
        <f t="shared" si="1"/>
        <v>INV-44102-35Prestar los servicios profesionales en psicología, para seguimiento psicosocial y pedagógico a los jovenes del convenio 534-2025 JE3.</v>
      </c>
      <c r="J74">
        <f>Hoja1!N127</f>
        <v>80111600</v>
      </c>
    </row>
    <row r="75" spans="5:10">
      <c r="E75" s="99" t="str">
        <f>Hoja1!M128</f>
        <v>INV-44102-36</v>
      </c>
      <c r="F75" t="str">
        <f>Hoja1!O128</f>
        <v>Prestar los servicios profesionales como diseñador gráfico, para apoyar las actividades de comunicación en el seguimiento pedagogico de los jovenes vinculados al convenio 534-2025 JE3.</v>
      </c>
      <c r="H75" t="str">
        <f t="shared" si="1"/>
        <v>INV-44102-36Prestar los servicios profesionales como diseñador gráfico, para apoyar las actividades de comunicación en el seguimiento pedagogico de los jovenes vinculados al convenio 534-2025 JE3.</v>
      </c>
      <c r="J75">
        <f>Hoja1!N128</f>
        <v>80111600</v>
      </c>
    </row>
    <row r="76" spans="5:10">
      <c r="E76" s="99" t="e">
        <f>Hoja1!#REF!</f>
        <v>#REF!</v>
      </c>
      <c r="F76" t="e">
        <f>Hoja1!#REF!</f>
        <v>#REF!</v>
      </c>
      <c r="H76" t="e">
        <f t="shared" si="1"/>
        <v>#REF!</v>
      </c>
      <c r="J76" t="e">
        <f>Hoja1!#REF!</f>
        <v>#REF!</v>
      </c>
    </row>
    <row r="77" spans="5:10">
      <c r="E77" s="99" t="e">
        <f>Hoja1!#REF!</f>
        <v>#REF!</v>
      </c>
      <c r="F77" t="e">
        <f>Hoja1!#REF!</f>
        <v>#REF!</v>
      </c>
      <c r="H77" t="e">
        <f t="shared" si="1"/>
        <v>#REF!</v>
      </c>
      <c r="J77" t="e">
        <f>Hoja1!#REF!</f>
        <v>#REF!</v>
      </c>
    </row>
    <row r="78" spans="5:10">
      <c r="E78" s="99" t="e">
        <f>Hoja1!#REF!</f>
        <v>#REF!</v>
      </c>
      <c r="F78" t="e">
        <f>Hoja1!#REF!</f>
        <v>#REF!</v>
      </c>
      <c r="H78" t="e">
        <f t="shared" si="1"/>
        <v>#REF!</v>
      </c>
      <c r="J78" t="e">
        <f>Hoja1!#REF!</f>
        <v>#REF!</v>
      </c>
    </row>
    <row r="79" spans="5:10">
      <c r="E79" s="99" t="str">
        <f>Hoja1!M137</f>
        <v>INV-42103-9</v>
      </c>
      <c r="F79" t="str">
        <f>Hoja1!O137</f>
        <v>Prestar servicios profesionales para el desarrollo de las actividades del Grupo Interno de Trabajo Editorial en la indexación de revistas, y la elaboración de protocolos post-publicación.</v>
      </c>
      <c r="H79" t="str">
        <f t="shared" si="1"/>
        <v>INV-42103-9Prestar servicios profesionales para el desarrollo de las actividades del Grupo Interno de Trabajo Editorial en la indexación de revistas, y la elaboración de protocolos post-publicación.</v>
      </c>
      <c r="J79">
        <f>Hoja1!N137</f>
        <v>80111600</v>
      </c>
    </row>
    <row r="80" spans="5:10">
      <c r="E80" s="99" t="str">
        <f>Hoja1!M138</f>
        <v>INV-42103-10</v>
      </c>
      <c r="F80" t="str">
        <f>Hoja1!O138</f>
        <v>Prestar servicios para el diseño de proyectos editoriales y  digitales especiales</v>
      </c>
      <c r="H80" t="str">
        <f t="shared" si="1"/>
        <v>INV-42103-10Prestar servicios para el diseño de proyectos editoriales y  digitales especiales</v>
      </c>
      <c r="J80">
        <f>Hoja1!N138</f>
        <v>80111600</v>
      </c>
    </row>
    <row r="81" spans="5:10">
      <c r="E81" s="99" t="str">
        <f>Hoja1!M139</f>
        <v>INV-42103-11</v>
      </c>
      <c r="F81" t="str">
        <f>Hoja1!O139</f>
        <v>Prestar servicios para realizar la corrección de estilo y traducción a otros idiomas como inglés y portugués para libros y revistas.</v>
      </c>
      <c r="H81" t="str">
        <f t="shared" si="1"/>
        <v>INV-42103-11Prestar servicios para realizar la corrección de estilo y traducción a otros idiomas como inglés y portugués para libros y revistas.</v>
      </c>
      <c r="J81">
        <f>Hoja1!N139</f>
        <v>80111600</v>
      </c>
    </row>
    <row r="82" spans="5:10">
      <c r="E82" s="99" t="str">
        <f>Hoja1!M140</f>
        <v>INV-42103-12</v>
      </c>
      <c r="F82" t="str">
        <f>Hoja1!O140</f>
        <v>Prestar servicios de diseño de materiales educativos documento de autoevaluación para la acreditación institucional</v>
      </c>
      <c r="H82" t="str">
        <f t="shared" si="1"/>
        <v>INV-42103-12Prestar servicios de diseño de materiales educativos documento de autoevaluación para la acreditación institucional</v>
      </c>
      <c r="J82">
        <f>Hoja1!N140</f>
        <v>80111600</v>
      </c>
    </row>
    <row r="83" spans="5:10">
      <c r="E83" s="99" t="str">
        <f>Hoja1!M141</f>
        <v>INV-42103-13</v>
      </c>
      <c r="F83" t="str">
        <f>Hoja1!O141</f>
        <v>Prestar servicios para el diseño gráfico editorial en diagramación de libros y revistas de la Universidad Pedagógica Nacional.</v>
      </c>
      <c r="H83" t="str">
        <f t="shared" si="1"/>
        <v>INV-42103-13Prestar servicios para el diseño gráfico editorial en diagramación de libros y revistas de la Universidad Pedagógica Nacional.</v>
      </c>
      <c r="J83">
        <f>Hoja1!N141</f>
        <v>80111600</v>
      </c>
    </row>
    <row r="84" spans="5:10">
      <c r="E84" s="99" t="str">
        <f>Hoja1!M142</f>
        <v>INV-42103-14</v>
      </c>
      <c r="F84" t="str">
        <f>Hoja1!O142</f>
        <v>Prestar servicios para realizar la corrección de estilo de los libros y revistas de la Universidad Pedagógica Nacional.</v>
      </c>
      <c r="H84" t="str">
        <f t="shared" si="1"/>
        <v>INV-42103-14Prestar servicios para realizar la corrección de estilo de los libros y revistas de la Universidad Pedagógica Nacional.</v>
      </c>
      <c r="J84">
        <f>Hoja1!N142</f>
        <v>80111600</v>
      </c>
    </row>
    <row r="85" spans="5:10">
      <c r="E85" s="99">
        <f>Hoja1!M143</f>
        <v>0</v>
      </c>
      <c r="F85">
        <f>Hoja1!O143</f>
        <v>0</v>
      </c>
      <c r="H85" t="str">
        <f t="shared" si="1"/>
        <v>00</v>
      </c>
      <c r="J85">
        <f>Hoja1!N143</f>
        <v>0</v>
      </c>
    </row>
    <row r="86" spans="5:10">
      <c r="E86" s="99" t="str">
        <f>Hoja1!M144</f>
        <v>INV-42103-15</v>
      </c>
      <c r="F86" t="str">
        <f>Hoja1!O144</f>
        <v>Amparar el apoyo económico para desarrollar las evaluaciones de los  libros</v>
      </c>
      <c r="H86" t="str">
        <f t="shared" si="1"/>
        <v>INV-42103-15Amparar el apoyo económico para desarrollar las evaluaciones de los  libros</v>
      </c>
      <c r="J86" t="str">
        <f>Hoja1!N144</f>
        <v>N/A</v>
      </c>
    </row>
    <row r="87" spans="5:10">
      <c r="E87" s="99" t="str">
        <f>Hoja1!M145</f>
        <v>INV-42103-16</v>
      </c>
      <c r="F87" t="str">
        <f>Hoja1!O145</f>
        <v>Prestar el servicio para la impresión de los libros, revistas y  material institucional producidos por el Grupo Interno de Trabajo Editorial en el desarrollo de sus funciones misionales.</v>
      </c>
      <c r="H87" t="str">
        <f t="shared" si="1"/>
        <v>INV-42103-16Prestar el servicio para la impresión de los libros, revistas y  material institucional producidos por el Grupo Interno de Trabajo Editorial en el desarrollo de sus funciones misionales.</v>
      </c>
      <c r="J87" t="str">
        <f>Hoja1!N145</f>
        <v>82121500; 80111600</v>
      </c>
    </row>
    <row r="88" spans="5:10">
      <c r="E88" s="99" t="str">
        <f>Hoja1!M146</f>
        <v>INV-42103-17</v>
      </c>
      <c r="F88" t="str">
        <f>Hoja1!O146</f>
        <v>Amparar el pago de ISBN de los libros de la producción editorial de la Universidad Pedagógica Nacional.</v>
      </c>
      <c r="H88" t="str">
        <f t="shared" ref="H88:H125" si="2">CONCATENATE(E88,F88)</f>
        <v>INV-42103-17Amparar el pago de ISBN de los libros de la producción editorial de la Universidad Pedagógica Nacional.</v>
      </c>
      <c r="J88" t="str">
        <f>Hoja1!N146</f>
        <v>N/A</v>
      </c>
    </row>
    <row r="89" spans="5:10">
      <c r="E89" s="99" t="str">
        <f>Hoja1!M147</f>
        <v>INV-42103-18</v>
      </c>
      <c r="F89" t="str">
        <f>Hoja1!O147</f>
        <v>Amparar el pago al derecho del área de exposición para la participación de la Universidad Pedagógica Nacional en la Feria Internacional del Libro de Bogotá 2026</v>
      </c>
      <c r="H89" t="str">
        <f t="shared" si="2"/>
        <v>INV-42103-18Amparar el pago al derecho del área de exposición para la participación de la Universidad Pedagógica Nacional en la Feria Internacional del Libro de Bogotá 2026</v>
      </c>
      <c r="J89" t="str">
        <f>Hoja1!N147</f>
        <v xml:space="preserve">93141700
80141900
56121902
</v>
      </c>
    </row>
    <row r="90" spans="5:10">
      <c r="E90" s="99" t="str">
        <f>Hoja1!M148</f>
        <v>INV-42103-19</v>
      </c>
      <c r="F90" t="str">
        <f>Hoja1!O148</f>
        <v xml:space="preserve">Amparar el pago de la participación en Unilibros de Colombia </v>
      </c>
      <c r="H90" t="str">
        <f t="shared" si="2"/>
        <v xml:space="preserve">INV-42103-19Amparar el pago de la participación en Unilibros de Colombia </v>
      </c>
      <c r="J90" t="str">
        <f>Hoja1!N148</f>
        <v>N/A</v>
      </c>
    </row>
    <row r="91" spans="5:10">
      <c r="E91" s="99" t="str">
        <f>Hoja1!M149</f>
        <v>INV-42103-20</v>
      </c>
      <c r="F91" t="str">
        <f>Hoja1!O149</f>
        <v>Prestar servicio para el montaje del Stand de la Universidad Pedagógica Nacional para la participación en la Feria Internacional del Libro de Bogotá</v>
      </c>
      <c r="H91" t="str">
        <f t="shared" si="2"/>
        <v>INV-42103-20Prestar servicio para el montaje del Stand de la Universidad Pedagógica Nacional para la participación en la Feria Internacional del Libro de Bogotá</v>
      </c>
      <c r="J91" t="str">
        <f>Hoja1!N149</f>
        <v>56121900
82141602
56121902</v>
      </c>
    </row>
    <row r="92" spans="5:10">
      <c r="E92" s="99" t="str">
        <f>Hoja1!M152</f>
        <v>INV-42103-23</v>
      </c>
      <c r="F92" t="str">
        <f>Hoja1!O152</f>
        <v xml:space="preserve">Adquirir boletas para la participación en la Feria Internacional del Libro de Bogotá </v>
      </c>
      <c r="H92" t="str">
        <f t="shared" si="2"/>
        <v xml:space="preserve">INV-42103-23Adquirir boletas para la participación en la Feria Internacional del Libro de Bogotá </v>
      </c>
      <c r="J92">
        <f>Hoja1!N152</f>
        <v>14111800</v>
      </c>
    </row>
    <row r="93" spans="5:10">
      <c r="E93" s="99" t="str">
        <f>Hoja1!M154</f>
        <v>INV-42103-25</v>
      </c>
      <c r="F93" t="str">
        <f>Hoja1!O154</f>
        <v>Prestar servicios para realizar la corrección de estilo de los libros de la Universidad Pedagógica Nacional.</v>
      </c>
      <c r="H93" t="str">
        <f t="shared" si="2"/>
        <v>INV-42103-25Prestar servicios para realizar la corrección de estilo de los libros de la Universidad Pedagógica Nacional.</v>
      </c>
      <c r="J93">
        <f>Hoja1!N154</f>
        <v>80111600</v>
      </c>
    </row>
    <row r="94" spans="5:10">
      <c r="E94" s="99" t="str">
        <f>Hoja1!M156</f>
        <v>INV-42103-27</v>
      </c>
      <c r="F94" t="str">
        <f>Hoja1!O156</f>
        <v>Prestar servicios para realizar la corrección de estilo de los libros de la Universidad Pedagógica Nacional.</v>
      </c>
      <c r="H94" t="str">
        <f t="shared" si="2"/>
        <v>INV-42103-27Prestar servicios para realizar la corrección de estilo de los libros de la Universidad Pedagógica Nacional.</v>
      </c>
      <c r="J94">
        <f>Hoja1!N156</f>
        <v>80111600</v>
      </c>
    </row>
    <row r="95" spans="5:10">
      <c r="E95" s="99" t="str">
        <f>Hoja1!M157</f>
        <v>INV-42103-28</v>
      </c>
      <c r="F95" t="str">
        <f>Hoja1!O157</f>
        <v>Prestar servicios para realizar la corrección de estilo de los libros de la Universidad Pedagógica Nacional.</v>
      </c>
      <c r="H95" t="str">
        <f t="shared" si="2"/>
        <v>INV-42103-28Prestar servicios para realizar la corrección de estilo de los libros de la Universidad Pedagógica Nacional.</v>
      </c>
      <c r="J95">
        <f>Hoja1!N157</f>
        <v>80111600</v>
      </c>
    </row>
    <row r="96" spans="5:10">
      <c r="E96" s="99" t="str">
        <f>Hoja1!M158</f>
        <v>INV-42103-29</v>
      </c>
      <c r="F96" t="str">
        <f>Hoja1!O158</f>
        <v>Prestar servicios para realizar la corrección de estilo de los libros de la Universidad Pedagógica Nacional.</v>
      </c>
      <c r="H96" t="str">
        <f t="shared" si="2"/>
        <v>INV-42103-29Prestar servicios para realizar la corrección de estilo de los libros de la Universidad Pedagógica Nacional.</v>
      </c>
      <c r="J96">
        <f>Hoja1!N158</f>
        <v>80111600</v>
      </c>
    </row>
    <row r="97" spans="5:10">
      <c r="E97" s="99" t="str">
        <f>Hoja1!M159</f>
        <v>INV-42103-30</v>
      </c>
      <c r="F97" t="str">
        <f>Hoja1!O159</f>
        <v>Amparar el pago de ISMN de los libros de la producción editorial de la Universidad Pedagógica Nacional.</v>
      </c>
      <c r="H97" t="str">
        <f t="shared" si="2"/>
        <v>INV-42103-30Amparar el pago de ISMN de los libros de la producción editorial de la Universidad Pedagógica Nacional.</v>
      </c>
      <c r="J97" t="str">
        <f>Hoja1!N159</f>
        <v>N/A</v>
      </c>
    </row>
    <row r="98" spans="5:10">
      <c r="E98" s="99" t="str">
        <f>Hoja1!M160</f>
        <v>INV-42103-31</v>
      </c>
      <c r="F98" t="str">
        <f>Hoja1!O160</f>
        <v>Prestar servicios de diseño digital de los  documentos de autoevaluación para la acreditación institucional</v>
      </c>
      <c r="H98" t="str">
        <f t="shared" si="2"/>
        <v>INV-42103-31Prestar servicios de diseño digital de los  documentos de autoevaluación para la acreditación institucional</v>
      </c>
      <c r="J98">
        <f>Hoja1!N160</f>
        <v>80111600</v>
      </c>
    </row>
    <row r="99" spans="5:10">
      <c r="E99" s="99" t="str">
        <f>Hoja1!M161</f>
        <v>INV-42103-32</v>
      </c>
      <c r="F99" t="str">
        <f>Hoja1!O161</f>
        <v>Prestar el servicio de actualización y mantenimiento de la plataforma Open Journal Systems</v>
      </c>
      <c r="H99" t="str">
        <f t="shared" si="2"/>
        <v>INV-42103-32Prestar el servicio de actualización y mantenimiento de la plataforma Open Journal Systems</v>
      </c>
      <c r="J99">
        <f>Hoja1!N161</f>
        <v>81112200</v>
      </c>
    </row>
    <row r="100" spans="5:10">
      <c r="E100" s="99" t="str">
        <f>Hoja1!M162</f>
        <v>INV-42103-33</v>
      </c>
      <c r="F100" t="str">
        <f>Hoja1!O162</f>
        <v>Prestar el servicio para la marcación de las revistas que se encuentran incluidas en SciELO Colombia</v>
      </c>
      <c r="H100" t="str">
        <f t="shared" si="2"/>
        <v>INV-42103-33Prestar el servicio para la marcación de las revistas que se encuentran incluidas en SciELO Colombia</v>
      </c>
      <c r="J100">
        <f>Hoja1!N162</f>
        <v>80111600</v>
      </c>
    </row>
    <row r="101" spans="5:10">
      <c r="E101" s="99" t="str">
        <f>Hoja1!M163</f>
        <v>INV-42103-34</v>
      </c>
      <c r="F101" t="str">
        <f>Hoja1!O163</f>
        <v xml:space="preserve">Amparar la afiliación de la Universidad Pedagógica Nacional en Comité de Ética de la Publicación (COPE) </v>
      </c>
      <c r="H101" t="str">
        <f t="shared" si="2"/>
        <v xml:space="preserve">INV-42103-34Amparar la afiliación de la Universidad Pedagógica Nacional en Comité de Ética de la Publicación (COPE) </v>
      </c>
      <c r="J101" t="str">
        <f>Hoja1!N163</f>
        <v>N/A</v>
      </c>
    </row>
    <row r="102" spans="5:10">
      <c r="E102" s="99" t="str">
        <f>Hoja1!M164</f>
        <v>INV-42103-35</v>
      </c>
      <c r="F102" t="str">
        <f>Hoja1!O164</f>
        <v xml:space="preserve">Prestar el servicio para el soporte de libros electronicos </v>
      </c>
      <c r="H102" t="str">
        <f t="shared" si="2"/>
        <v xml:space="preserve">INV-42103-35Prestar el servicio para el soporte de libros electronicos </v>
      </c>
      <c r="J102">
        <f>Hoja1!N164</f>
        <v>80111600</v>
      </c>
    </row>
    <row r="103" spans="5:10">
      <c r="E103" s="99" t="str">
        <f>Hoja1!M165</f>
        <v>INV-42103-36</v>
      </c>
      <c r="F103" t="str">
        <f>Hoja1!O165</f>
        <v>Prestar el servicio para los materiales y diseño de libreria UPN</v>
      </c>
      <c r="H103" t="str">
        <f t="shared" si="2"/>
        <v>INV-42103-36Prestar el servicio para los materiales y diseño de libreria UPN</v>
      </c>
      <c r="J103">
        <f>Hoja1!N165</f>
        <v>80111600</v>
      </c>
    </row>
    <row r="104" spans="5:10">
      <c r="E104" s="99" t="str">
        <f>Hoja1!M166</f>
        <v>INV-42103-37</v>
      </c>
      <c r="F104" t="str">
        <f>Hoja1!O166</f>
        <v>Amparar la afiliación de la Universidad Pedagógica Nacional en la Camara Colombiana del Libro</v>
      </c>
      <c r="H104" t="str">
        <f t="shared" si="2"/>
        <v>INV-42103-37Amparar la afiliación de la Universidad Pedagógica Nacional en la Camara Colombiana del Libro</v>
      </c>
      <c r="J104" t="str">
        <f>Hoja1!N166</f>
        <v>N/A</v>
      </c>
    </row>
    <row r="105" spans="5:10">
      <c r="E105" s="99" t="str">
        <f>Hoja1!M167</f>
        <v>INV-42103-38</v>
      </c>
      <c r="F105" t="str">
        <f>Hoja1!O167</f>
        <v>Prestar el servicio para el desarrollo del laboratorio del Materiales educativos y su producción.</v>
      </c>
      <c r="H105" t="str">
        <f t="shared" si="2"/>
        <v>INV-42103-38Prestar el servicio para el desarrollo del laboratorio del Materiales educativos y su producción.</v>
      </c>
      <c r="J105">
        <f>Hoja1!N167</f>
        <v>80111600</v>
      </c>
    </row>
    <row r="106" spans="5:10">
      <c r="E106" s="99" t="str">
        <f>Hoja1!M168</f>
        <v>INV-42103-39</v>
      </c>
      <c r="F106" t="str">
        <f>Hoja1!O168</f>
        <v>Prestar servicio para la producción de la convocatoria de libros infaltiles y juveniles</v>
      </c>
      <c r="H106" t="str">
        <f t="shared" si="2"/>
        <v>INV-42103-39Prestar servicio para la producción de la convocatoria de libros infaltiles y juveniles</v>
      </c>
      <c r="J106">
        <f>Hoja1!N168</f>
        <v>80111600</v>
      </c>
    </row>
    <row r="107" spans="5:10">
      <c r="E107" s="99" t="str">
        <f>Hoja1!M172</f>
        <v>INV-42103-42</v>
      </c>
      <c r="F107" t="str">
        <f>Hoja1!O172</f>
        <v>Prestación de servicios para la actualización del diseño gráfico del libro Bichitos Bichotes, publicado por la Universidad Pedagógica Nacional.</v>
      </c>
      <c r="H107" t="str">
        <f t="shared" si="2"/>
        <v>INV-42103-42Prestación de servicios para la actualización del diseño gráfico del libro Bichitos Bichotes, publicado por la Universidad Pedagógica Nacional.</v>
      </c>
      <c r="J107">
        <f>Hoja1!N172</f>
        <v>80111600</v>
      </c>
    </row>
    <row r="108" spans="5:10">
      <c r="E108" s="99" t="str">
        <f>Hoja1!M173</f>
        <v>INV-42103-43</v>
      </c>
      <c r="F108" t="str">
        <f>Hoja1!O173</f>
        <v>Prestar el servicio para la impresión de los libros, revistas y  material institucional producidos por el Grupo Interno de Trabajo Editorial en el desarrollo de sus funciones misionales.</v>
      </c>
      <c r="H108" t="str">
        <f t="shared" si="2"/>
        <v>INV-42103-43Prestar el servicio para la impresión de los libros, revistas y  material institucional producidos por el Grupo Interno de Trabajo Editorial en el desarrollo de sus funciones misionales.</v>
      </c>
      <c r="J108">
        <f>Hoja1!N173</f>
        <v>82121500</v>
      </c>
    </row>
    <row r="109" spans="5:10">
      <c r="E109" s="99" t="str">
        <f>Hoja1!M174</f>
        <v>INV-42103-44</v>
      </c>
      <c r="F109" t="str">
        <f>Hoja1!O174</f>
        <v>Prestar el servicio para la impresión de libros producidos por el Grupo Interno de Trabajo Editorial que se publicaran mediante coediciones.</v>
      </c>
      <c r="H109" t="str">
        <f t="shared" si="2"/>
        <v>INV-42103-44Prestar el servicio para la impresión de libros producidos por el Grupo Interno de Trabajo Editorial que se publicaran mediante coediciones.</v>
      </c>
      <c r="J109">
        <f>Hoja1!N174</f>
        <v>82121500</v>
      </c>
    </row>
    <row r="110" spans="5:10">
      <c r="E110" s="99" t="str">
        <f>Hoja1!M175</f>
        <v>INV-43102-1</v>
      </c>
      <c r="F110" t="str">
        <f>Hoja1!O175</f>
        <v>Renovar licenciamiento para la plataforma de seguridad perimetral de la Universidad Pedagógica Nacional</v>
      </c>
      <c r="H110" t="str">
        <f t="shared" si="2"/>
        <v>INV-43102-1Renovar licenciamiento para la plataforma de seguridad perimetral de la Universidad Pedagógica Nacional</v>
      </c>
      <c r="J110" t="str">
        <f>Hoja1!N175</f>
        <v>43233200;
43222600;
81111500;
81111600;
81111800;</v>
      </c>
    </row>
    <row r="111" spans="5:10">
      <c r="E111" s="99" t="str">
        <f>Hoja1!M180</f>
        <v>INV-43102-2</v>
      </c>
      <c r="F111" t="str">
        <f>Hoja1!O180</f>
        <v>Renovar el derecho de uso del licenciamiento de antivirus para la Universidad Pedagogica Nacional</v>
      </c>
      <c r="H111" t="str">
        <f t="shared" si="2"/>
        <v>INV-43102-2Renovar el derecho de uso del licenciamiento de antivirus para la Universidad Pedagogica Nacional</v>
      </c>
      <c r="J111">
        <f>Hoja1!N180</f>
        <v>81112501</v>
      </c>
    </row>
    <row r="112" spans="5:10">
      <c r="E112" s="99" t="str">
        <f>Hoja1!M181</f>
        <v>INV-43102-3</v>
      </c>
      <c r="F112" t="str">
        <f>Hoja1!O181</f>
        <v>Renovar el derecho de uso de licenciamiento Veeam Backup para la Universidad Pedagogica Nacional</v>
      </c>
      <c r="H112" t="str">
        <f t="shared" si="2"/>
        <v>INV-43102-3Renovar el derecho de uso de licenciamiento Veeam Backup para la Universidad Pedagogica Nacional</v>
      </c>
      <c r="J112">
        <f>Hoja1!N181</f>
        <v>81112501</v>
      </c>
    </row>
    <row r="113" spans="5:10">
      <c r="E113" s="99" t="str">
        <f>Hoja1!M184</f>
        <v>INV-43102-5</v>
      </c>
      <c r="F113" t="str">
        <f>Hoja1!O184</f>
        <v>Adquirir equipos de computo para la renovación del parque computacional de la Universidad Pedagógica Nacional</v>
      </c>
      <c r="H113" t="str">
        <f t="shared" si="2"/>
        <v>INV-43102-5Adquirir equipos de computo para la renovación del parque computacional de la Universidad Pedagógica Nacional</v>
      </c>
      <c r="J113" t="str">
        <f>Hoja1!N184</f>
        <v xml:space="preserve">43211500;
43211507;
43211508;
43211600;
</v>
      </c>
    </row>
    <row r="114" spans="5:10">
      <c r="E114" s="99" t="str">
        <f>Hoja1!M185</f>
        <v>INV-43102-6</v>
      </c>
      <c r="F114" t="str">
        <f>Hoja1!O185</f>
        <v>Diseñar y codificar nuevas funcionalidades que se incorporen al Sistema Académico Class para programas de pregrado y Centro de Lenguas de la Universidad Pedagógica Nacional</v>
      </c>
      <c r="H114" t="str">
        <f t="shared" si="2"/>
        <v>INV-43102-6Diseñar y codificar nuevas funcionalidades que se incorporen al Sistema Académico Class para programas de pregrado y Centro de Lenguas de la Universidad Pedagógica Nacional</v>
      </c>
      <c r="J114">
        <f>Hoja1!N185</f>
        <v>81111501</v>
      </c>
    </row>
    <row r="115" spans="5:10">
      <c r="E115" s="99" t="str">
        <f>Hoja1!M186</f>
        <v>INV-43102-7</v>
      </c>
      <c r="F115" t="str">
        <f>Hoja1!O186</f>
        <v>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v>
      </c>
      <c r="H115" t="str">
        <f t="shared" si="2"/>
        <v>INV-43102-7Ejecutar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v>
      </c>
      <c r="J115">
        <f>Hoja1!N186</f>
        <v>81111501</v>
      </c>
    </row>
    <row r="116" spans="5:10">
      <c r="E116" s="99" t="e">
        <f>Hoja1!#REF!</f>
        <v>#REF!</v>
      </c>
      <c r="F116" t="e">
        <f>Hoja1!#REF!</f>
        <v>#REF!</v>
      </c>
      <c r="H116" t="e">
        <f t="shared" si="2"/>
        <v>#REF!</v>
      </c>
      <c r="J116" t="e">
        <f>Hoja1!#REF!</f>
        <v>#REF!</v>
      </c>
    </row>
    <row r="117" spans="5:10">
      <c r="E117" s="99" t="str">
        <f>Hoja1!M189</f>
        <v>INV-42101-3</v>
      </c>
      <c r="F117" t="str">
        <f>Hoja1!O189</f>
        <v>Prestar el servicio de hospedaje, alimentación (desayuno, almuerzo y cena) y transporte para los visitantes internacionales que asisten en el marco de eventos académicos interinstitucionales, actividades, talleres, seminarios, que diseñan las distintas unidades académicas y administrativas de la Universidad Pedagógica Nacional.</v>
      </c>
      <c r="H117" t="str">
        <f t="shared" si="2"/>
        <v>INV-42101-3Prestar el servicio de hospedaje, alimentación (desayuno, almuerzo y cena) y transporte para los visitantes internacionales que asisten en el marco de eventos académicos interinstitucionales, actividades, talleres, seminarios, que diseñan las distintas unidades académicas y administrativas de la Universidad Pedagógica Nacional.</v>
      </c>
      <c r="J117" t="str">
        <f>Hoja1!N189</f>
        <v>78111800; 90111500; 90101500</v>
      </c>
    </row>
    <row r="118" spans="5:10">
      <c r="E118" s="99" t="str">
        <f>Hoja1!M198</f>
        <v>INV-42101-12</v>
      </c>
      <c r="F118" t="str">
        <f>Hoja1!O198</f>
        <v>Prestar los servicios profesionales para el apoyo a la gestión administrativa, operativa y de seguimiento al desarrollo del Acuerdo de Cooperación SAIH</v>
      </c>
      <c r="H118" t="str">
        <f t="shared" si="2"/>
        <v>INV-42101-12Prestar los servicios profesionales para el apoyo a la gestión administrativa, operativa y de seguimiento al desarrollo del Acuerdo de Cooperación SAIH</v>
      </c>
      <c r="J118">
        <f>Hoja1!N198</f>
        <v>80111600</v>
      </c>
    </row>
    <row r="119" spans="5:10">
      <c r="E119" s="99" t="str">
        <f>Hoja1!M201</f>
        <v>INV-42101-15</v>
      </c>
      <c r="F119" t="str">
        <f>Hoja1!O201</f>
        <v>Prestar los servicios profesionales para la evaluación, informe y Auditoria del  Acuerdo de Cooperación sucrito con SAIH</v>
      </c>
      <c r="H119" t="str">
        <f t="shared" si="2"/>
        <v>INV-42101-15Prestar los servicios profesionales para la evaluación, informe y Auditoria del  Acuerdo de Cooperación sucrito con SAIH</v>
      </c>
      <c r="J119">
        <f>Hoja1!N201</f>
        <v>80111600</v>
      </c>
    </row>
    <row r="120" spans="5:10">
      <c r="E120" s="99" t="str">
        <f>Hoja1!M203</f>
        <v>INV-42101-17</v>
      </c>
      <c r="F120" t="str">
        <f>Hoja1!O203</f>
        <v xml:space="preserve">Suministrar materiales, elementos y útiles para el desarrollo del curso presencial “Enseñanza y revitalización de lenguas en contextos de bilingüismo y multilingüismo indígena” - ICETEX </v>
      </c>
      <c r="H120" t="str">
        <f t="shared" si="2"/>
        <v xml:space="preserve">INV-42101-17Suministrar materiales, elementos y útiles para el desarrollo del curso presencial “Enseñanza y revitalización de lenguas en contextos de bilingüismo y multilingüismo indígena” - ICETEX </v>
      </c>
      <c r="J120" t="str">
        <f>Hoja1!N203</f>
        <v>11150000, 11160000, 27112800, 14111507, 44121708, 60106207, 60121226, 31211900, 31211906, 31211500, 60121001, 601121200, 44121618 60121518</v>
      </c>
    </row>
    <row r="121" spans="5:10">
      <c r="E121" s="99" t="str">
        <f>Hoja1!M205</f>
        <v>INV-43203-1</v>
      </c>
      <c r="F121" t="str">
        <f>Hoja1!O205</f>
        <v>Adquirir e instalar mobiliario para las distintas áreas de la Universidad Pedagógica Nacional</v>
      </c>
      <c r="H121" t="str">
        <f t="shared" si="2"/>
        <v>INV-43203-1Adquirir e instalar mobiliario para las distintas áreas de la Universidad Pedagógica Nacional</v>
      </c>
      <c r="J121" t="str">
        <f>Hoja1!N205</f>
        <v>56101600; 56101603;56101602; 56101703;56112104;56112100;56101520</v>
      </c>
    </row>
    <row r="122" spans="5:10">
      <c r="E122" s="99" t="str">
        <f>Hoja1!M206</f>
        <v>INV-43202-1</v>
      </c>
      <c r="F122" t="str">
        <f>Hoja1!O206</f>
        <v>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v>
      </c>
      <c r="H122" t="str">
        <f t="shared" si="2"/>
        <v>INV-43202-1Realizar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v>
      </c>
      <c r="J122" t="str">
        <f>Hoja1!N206</f>
        <v>81101500;80111600;80111614;80111617</v>
      </c>
    </row>
    <row r="123" spans="5:10">
      <c r="E123" s="99">
        <f>Hoja1!M215</f>
        <v>0</v>
      </c>
      <c r="F123">
        <f>Hoja1!O215</f>
        <v>0</v>
      </c>
      <c r="H123" t="str">
        <f t="shared" si="2"/>
        <v>00</v>
      </c>
      <c r="J123">
        <f>Hoja1!N215</f>
        <v>0</v>
      </c>
    </row>
    <row r="124" spans="5:10">
      <c r="E124" s="99" t="str">
        <f>Hoja1!M216</f>
        <v>INV-43202-8</v>
      </c>
      <c r="F124" t="str">
        <f>Hoja1!O216</f>
        <v>Realizar la etapa I de las adecuaciones generales para la mejora de las zonas de accesibilidad en las instalaciones de Calle 72 de la Universidad Pedagógica Nacional</v>
      </c>
      <c r="H124" t="str">
        <f t="shared" si="2"/>
        <v>INV-43202-8Realizar la etapa I de las adecuaciones generales para la mejora de las zonas de accesibilidad en las instalaciones de Calle 72 de la Universidad Pedagógica Nacional</v>
      </c>
      <c r="J124" t="str">
        <f>Hoja1!N216</f>
        <v>72101500;72151700;81101500</v>
      </c>
    </row>
    <row r="125" spans="5:10">
      <c r="E125" s="99" t="str">
        <f>Hoja1!M217</f>
        <v>INV-43202-9</v>
      </c>
      <c r="F125" t="str">
        <f>Hoja1!O217</f>
        <v xml:space="preserve">Realizar adecuaciones generales en el segundo piso del edificio P de las instalaciones de calle 72 de la Universidad Pedagógica Nacional </v>
      </c>
      <c r="H125" t="str">
        <f t="shared" si="2"/>
        <v xml:space="preserve">INV-43202-9Realizar adecuaciones generales en el segundo piso del edificio P de las instalaciones de calle 72 de la Universidad Pedagógica Nacional </v>
      </c>
      <c r="J125" t="str">
        <f>Hoja1!N217</f>
        <v>72101500, 72121100, 81101500;72151500;72151600</v>
      </c>
    </row>
    <row r="126" spans="5:10">
      <c r="E126" s="99" t="str">
        <f>Hoja1!M218</f>
        <v>INV-43202-10</v>
      </c>
      <c r="F126" t="str">
        <f>Hoja1!O218</f>
        <v>Realizar adecuaciones generales para la sala de profesores de la Facultad de Ciencia y Tecnología de la Universidad Pedagógica Nacional</v>
      </c>
      <c r="H126" t="str">
        <f t="shared" ref="H126:H168" si="3">CONCATENATE(E126,F126)</f>
        <v>INV-43202-10Realizar adecuaciones generales para la sala de profesores de la Facultad de Ciencia y Tecnología de la Universidad Pedagógica Nacional</v>
      </c>
      <c r="J126" t="str">
        <f>Hoja1!N218</f>
        <v>72101500; 81101500;72121400;72151500;72151600</v>
      </c>
    </row>
    <row r="127" spans="5:10">
      <c r="E127" s="99" t="str">
        <f>Hoja1!M219</f>
        <v>INV-43202-11</v>
      </c>
      <c r="F127" t="str">
        <f>Hoja1!O219</f>
        <v xml:space="preserve">Adquirir e instalar equipos especializados  para algunos laboratorios del Departamento de Química de la Universidad Pedagógica Nacional </v>
      </c>
      <c r="H127" t="str">
        <f t="shared" si="3"/>
        <v xml:space="preserve">INV-43202-11Adquirir e instalar equipos especializados  para algunos laboratorios del Departamento de Química de la Universidad Pedagógica Nacional </v>
      </c>
      <c r="J127" t="str">
        <f>Hoja1!N219</f>
        <v>41101500;41104600;41102400;41103800</v>
      </c>
    </row>
    <row r="128" spans="5:10" hidden="1">
      <c r="E128" s="99">
        <f>Hoja1!M220</f>
        <v>0</v>
      </c>
      <c r="F128">
        <f>Hoja1!O220</f>
        <v>0</v>
      </c>
      <c r="H128" t="str">
        <f t="shared" si="3"/>
        <v>00</v>
      </c>
      <c r="J128">
        <f>Hoja1!N220</f>
        <v>0</v>
      </c>
    </row>
    <row r="129" spans="5:10" hidden="1">
      <c r="E129" s="99">
        <f>Hoja1!M221</f>
        <v>0</v>
      </c>
      <c r="F129">
        <f>Hoja1!O221</f>
        <v>0</v>
      </c>
      <c r="H129" t="str">
        <f t="shared" si="3"/>
        <v>00</v>
      </c>
      <c r="J129">
        <f>Hoja1!N221</f>
        <v>0</v>
      </c>
    </row>
    <row r="130" spans="5:10" hidden="1">
      <c r="E130" s="99" t="str">
        <f>Hoja1!M222</f>
        <v>INV-43202-12</v>
      </c>
      <c r="F130" t="str">
        <f>Hoja1!O222</f>
        <v>Realizar las adecuaciones generales en las áreas de cafetería y  salones en las instalaciones de Nogal de la Universidad Pedagógica Nacional</v>
      </c>
      <c r="H130" t="str">
        <f t="shared" si="3"/>
        <v>INV-43202-12Realizar las adecuaciones generales en las áreas de cafetería y  salones en las instalaciones de Nogal de la Universidad Pedagógica Nacional</v>
      </c>
      <c r="J130" t="str">
        <f>Hoja1!N222</f>
        <v>72101500;72152600;72151200;72152100;81101500</v>
      </c>
    </row>
    <row r="131" spans="5:10" hidden="1">
      <c r="E131" s="99">
        <f>Hoja1!M223</f>
        <v>0</v>
      </c>
      <c r="F131">
        <f>Hoja1!O223</f>
        <v>0</v>
      </c>
      <c r="H131" t="str">
        <f t="shared" si="3"/>
        <v>00</v>
      </c>
      <c r="J131">
        <f>Hoja1!N223</f>
        <v>0</v>
      </c>
    </row>
    <row r="132" spans="5:10" hidden="1">
      <c r="E132" s="99" t="str">
        <f>Hoja1!M224</f>
        <v>INV-43202-13</v>
      </c>
      <c r="F132" t="str">
        <f>Hoja1!O224</f>
        <v xml:space="preserve">Realizar la fase II de las adecuaciones de las cubiertas del Instituto
Pedagógico Nacional </v>
      </c>
      <c r="H132" t="str">
        <f t="shared" si="3"/>
        <v xml:space="preserve">INV-43202-13Realizar la fase II de las adecuaciones de las cubiertas del Instituto
Pedagógico Nacional </v>
      </c>
      <c r="J132" t="str">
        <f>Hoja1!N224</f>
        <v>72101500;72151500;72152
600;72153200;81101500</v>
      </c>
    </row>
    <row r="133" spans="5:10" hidden="1">
      <c r="E133" s="99">
        <f>Hoja1!M225</f>
        <v>0</v>
      </c>
      <c r="F133">
        <f>Hoja1!O225</f>
        <v>0</v>
      </c>
      <c r="H133" t="str">
        <f t="shared" si="3"/>
        <v>00</v>
      </c>
      <c r="J133">
        <f>Hoja1!N225</f>
        <v>0</v>
      </c>
    </row>
    <row r="134" spans="5:10" hidden="1">
      <c r="E134" s="99">
        <f>Hoja1!M226</f>
        <v>0</v>
      </c>
      <c r="F134">
        <f>Hoja1!O226</f>
        <v>0</v>
      </c>
      <c r="H134" t="str">
        <f t="shared" si="3"/>
        <v>00</v>
      </c>
      <c r="J134">
        <f>Hoja1!N226</f>
        <v>0</v>
      </c>
    </row>
    <row r="135" spans="5:10" hidden="1">
      <c r="E135" s="99">
        <f>Hoja1!M227</f>
        <v>0</v>
      </c>
      <c r="F135">
        <f>Hoja1!O227</f>
        <v>0</v>
      </c>
      <c r="H135" t="str">
        <f t="shared" si="3"/>
        <v>00</v>
      </c>
      <c r="J135">
        <f>Hoja1!N227</f>
        <v>0</v>
      </c>
    </row>
    <row r="136" spans="5:10" hidden="1">
      <c r="E136" s="99" t="str">
        <f>Hoja1!M228</f>
        <v>INV-43202-14</v>
      </c>
      <c r="F136" t="str">
        <f>Hoja1!O228</f>
        <v>Realizar la consultoría integral para la  formulación del Plan Maestro de Infraestructura Física de las instalaciones de la Universidad Pedagógica Nacional, de conformidad con el Anexo Técnico No.01</v>
      </c>
      <c r="H136" t="str">
        <f t="shared" si="3"/>
        <v>INV-43202-14Realizar la consultoría integral para la  formulación del Plan Maestro de Infraestructura Física de las instalaciones de la Universidad Pedagógica Nacional, de conformidad con el Anexo Técnico No.01</v>
      </c>
      <c r="J136" t="str">
        <f>Hoja1!N228</f>
        <v xml:space="preserve">81101500; 80111600;80101600 </v>
      </c>
    </row>
    <row r="137" spans="5:10" hidden="1">
      <c r="E137" s="99">
        <f>Hoja1!M229</f>
        <v>0</v>
      </c>
      <c r="F137">
        <f>Hoja1!O229</f>
        <v>0</v>
      </c>
      <c r="H137" t="str">
        <f t="shared" si="3"/>
        <v>00</v>
      </c>
      <c r="J137">
        <f>Hoja1!N229</f>
        <v>0</v>
      </c>
    </row>
    <row r="138" spans="5:10" hidden="1">
      <c r="E138" s="99">
        <f>Hoja1!M230</f>
        <v>0</v>
      </c>
      <c r="F138">
        <f>Hoja1!O230</f>
        <v>0</v>
      </c>
      <c r="H138" t="str">
        <f t="shared" si="3"/>
        <v>00</v>
      </c>
      <c r="J138">
        <f>Hoja1!N230</f>
        <v>0</v>
      </c>
    </row>
    <row r="139" spans="5:10" hidden="1">
      <c r="E139" s="99">
        <f>Hoja1!M231</f>
        <v>0</v>
      </c>
      <c r="F139">
        <f>Hoja1!O231</f>
        <v>0</v>
      </c>
      <c r="H139" t="str">
        <f t="shared" si="3"/>
        <v>00</v>
      </c>
      <c r="J139">
        <f>Hoja1!N231</f>
        <v>0</v>
      </c>
    </row>
    <row r="140" spans="5:10" hidden="1">
      <c r="E140" s="99">
        <f>Hoja1!M232</f>
        <v>0</v>
      </c>
      <c r="F140">
        <f>Hoja1!O232</f>
        <v>0</v>
      </c>
      <c r="H140" t="str">
        <f t="shared" si="3"/>
        <v>00</v>
      </c>
      <c r="J140">
        <f>Hoja1!N232</f>
        <v>0</v>
      </c>
    </row>
    <row r="141" spans="5:10" hidden="1">
      <c r="E141" s="99">
        <f>Hoja1!M233</f>
        <v>0</v>
      </c>
      <c r="F141">
        <f>Hoja1!O233</f>
        <v>0</v>
      </c>
      <c r="H141" t="str">
        <f t="shared" si="3"/>
        <v>00</v>
      </c>
      <c r="J141">
        <f>Hoja1!N233</f>
        <v>0</v>
      </c>
    </row>
    <row r="142" spans="5:10" hidden="1">
      <c r="E142" s="99">
        <f>Hoja1!M234</f>
        <v>0</v>
      </c>
      <c r="F142">
        <f>Hoja1!O234</f>
        <v>0</v>
      </c>
      <c r="H142" t="str">
        <f t="shared" si="3"/>
        <v>00</v>
      </c>
      <c r="J142">
        <f>Hoja1!N234</f>
        <v>0</v>
      </c>
    </row>
    <row r="143" spans="5:10" hidden="1">
      <c r="E143" s="99">
        <f>Hoja1!M235</f>
        <v>0</v>
      </c>
      <c r="F143">
        <f>Hoja1!O235</f>
        <v>0</v>
      </c>
      <c r="H143" t="str">
        <f t="shared" si="3"/>
        <v>00</v>
      </c>
      <c r="J143">
        <f>Hoja1!N235</f>
        <v>0</v>
      </c>
    </row>
    <row r="144" spans="5:10" hidden="1">
      <c r="E144" s="99">
        <f>Hoja1!M236</f>
        <v>0</v>
      </c>
      <c r="F144">
        <f>Hoja1!O236</f>
        <v>0</v>
      </c>
      <c r="H144" t="str">
        <f t="shared" si="3"/>
        <v>00</v>
      </c>
      <c r="J144">
        <f>Hoja1!N236</f>
        <v>0</v>
      </c>
    </row>
    <row r="145" spans="5:10" hidden="1">
      <c r="E145" s="99">
        <f>Hoja1!M237</f>
        <v>0</v>
      </c>
      <c r="F145">
        <f>Hoja1!O237</f>
        <v>0</v>
      </c>
      <c r="H145" t="str">
        <f t="shared" si="3"/>
        <v>00</v>
      </c>
      <c r="J145">
        <f>Hoja1!N237</f>
        <v>0</v>
      </c>
    </row>
    <row r="146" spans="5:10" hidden="1">
      <c r="E146" s="99">
        <f>Hoja1!M238</f>
        <v>0</v>
      </c>
      <c r="F146">
        <f>Hoja1!O238</f>
        <v>0</v>
      </c>
      <c r="H146" t="str">
        <f t="shared" si="3"/>
        <v>00</v>
      </c>
      <c r="J146">
        <f>Hoja1!N238</f>
        <v>0</v>
      </c>
    </row>
    <row r="147" spans="5:10" hidden="1">
      <c r="E147" s="99">
        <f>Hoja1!M239</f>
        <v>0</v>
      </c>
      <c r="F147">
        <f>Hoja1!O239</f>
        <v>0</v>
      </c>
      <c r="H147" t="str">
        <f t="shared" si="3"/>
        <v>00</v>
      </c>
      <c r="J147">
        <f>Hoja1!N239</f>
        <v>0</v>
      </c>
    </row>
    <row r="148" spans="5:10" hidden="1">
      <c r="E148" s="99">
        <f>Hoja1!M240</f>
        <v>0</v>
      </c>
      <c r="F148">
        <f>Hoja1!O240</f>
        <v>0</v>
      </c>
      <c r="H148" t="str">
        <f t="shared" si="3"/>
        <v>00</v>
      </c>
      <c r="J148">
        <f>Hoja1!N240</f>
        <v>0</v>
      </c>
    </row>
    <row r="149" spans="5:10" hidden="1">
      <c r="E149" s="99">
        <f>Hoja1!M241</f>
        <v>0</v>
      </c>
      <c r="F149">
        <f>Hoja1!O241</f>
        <v>0</v>
      </c>
      <c r="H149" t="str">
        <f t="shared" si="3"/>
        <v>00</v>
      </c>
      <c r="J149">
        <f>Hoja1!N241</f>
        <v>0</v>
      </c>
    </row>
    <row r="150" spans="5:10" hidden="1">
      <c r="E150" s="99">
        <f>Hoja1!M242</f>
        <v>0</v>
      </c>
      <c r="F150">
        <f>Hoja1!O242</f>
        <v>0</v>
      </c>
      <c r="H150" t="str">
        <f t="shared" si="3"/>
        <v>00</v>
      </c>
      <c r="J150">
        <f>Hoja1!N242</f>
        <v>0</v>
      </c>
    </row>
    <row r="151" spans="5:10" hidden="1">
      <c r="E151" s="99">
        <f>Hoja1!M243</f>
        <v>0</v>
      </c>
      <c r="F151">
        <f>Hoja1!O243</f>
        <v>0</v>
      </c>
      <c r="H151" t="str">
        <f t="shared" si="3"/>
        <v>00</v>
      </c>
      <c r="J151">
        <f>Hoja1!N243</f>
        <v>0</v>
      </c>
    </row>
    <row r="152" spans="5:10" hidden="1">
      <c r="E152" s="99">
        <f>Hoja1!M244</f>
        <v>0</v>
      </c>
      <c r="F152">
        <f>Hoja1!O244</f>
        <v>0</v>
      </c>
      <c r="H152" t="str">
        <f t="shared" si="3"/>
        <v>00</v>
      </c>
      <c r="J152">
        <f>Hoja1!N244</f>
        <v>0</v>
      </c>
    </row>
    <row r="153" spans="5:10" hidden="1">
      <c r="E153" s="99">
        <f>Hoja1!M245</f>
        <v>0</v>
      </c>
      <c r="F153">
        <f>Hoja1!O245</f>
        <v>0</v>
      </c>
      <c r="H153" t="str">
        <f t="shared" si="3"/>
        <v>00</v>
      </c>
      <c r="J153">
        <f>Hoja1!N245</f>
        <v>0</v>
      </c>
    </row>
    <row r="154" spans="5:10" hidden="1">
      <c r="E154" s="99">
        <f>Hoja1!M246</f>
        <v>0</v>
      </c>
      <c r="F154">
        <f>Hoja1!O246</f>
        <v>0</v>
      </c>
      <c r="H154" t="str">
        <f t="shared" si="3"/>
        <v>00</v>
      </c>
      <c r="J154">
        <f>Hoja1!N246</f>
        <v>0</v>
      </c>
    </row>
    <row r="155" spans="5:10" hidden="1">
      <c r="E155" s="99">
        <f>Hoja1!M247</f>
        <v>0</v>
      </c>
      <c r="F155">
        <f>Hoja1!O247</f>
        <v>0</v>
      </c>
      <c r="H155" t="str">
        <f t="shared" si="3"/>
        <v>00</v>
      </c>
      <c r="J155">
        <f>Hoja1!N247</f>
        <v>0</v>
      </c>
    </row>
    <row r="156" spans="5:10" hidden="1">
      <c r="E156" s="99">
        <f>Hoja1!M248</f>
        <v>0</v>
      </c>
      <c r="F156">
        <f>Hoja1!O248</f>
        <v>0</v>
      </c>
      <c r="H156" t="str">
        <f t="shared" si="3"/>
        <v>00</v>
      </c>
      <c r="J156">
        <f>Hoja1!N248</f>
        <v>0</v>
      </c>
    </row>
    <row r="157" spans="5:10" hidden="1">
      <c r="E157" s="99">
        <f>Hoja1!M249</f>
        <v>0</v>
      </c>
      <c r="F157">
        <f>Hoja1!O249</f>
        <v>0</v>
      </c>
      <c r="H157" t="str">
        <f t="shared" si="3"/>
        <v>00</v>
      </c>
      <c r="J157">
        <f>Hoja1!N249</f>
        <v>0</v>
      </c>
    </row>
    <row r="158" spans="5:10" hidden="1">
      <c r="E158" s="99">
        <f>Hoja1!M250</f>
        <v>0</v>
      </c>
      <c r="F158">
        <f>Hoja1!O250</f>
        <v>0</v>
      </c>
      <c r="H158" t="str">
        <f t="shared" si="3"/>
        <v>00</v>
      </c>
      <c r="J158">
        <f>Hoja1!N250</f>
        <v>0</v>
      </c>
    </row>
    <row r="159" spans="5:10" hidden="1">
      <c r="E159" s="99">
        <f>Hoja1!M251</f>
        <v>0</v>
      </c>
      <c r="F159">
        <f>Hoja1!O251</f>
        <v>0</v>
      </c>
      <c r="H159" t="str">
        <f t="shared" si="3"/>
        <v>00</v>
      </c>
      <c r="J159">
        <f>Hoja1!N251</f>
        <v>0</v>
      </c>
    </row>
    <row r="160" spans="5:10" hidden="1">
      <c r="E160" s="99">
        <f>Hoja1!M252</f>
        <v>0</v>
      </c>
      <c r="F160">
        <f>Hoja1!O252</f>
        <v>0</v>
      </c>
      <c r="H160" t="str">
        <f t="shared" si="3"/>
        <v>00</v>
      </c>
      <c r="J160">
        <f>Hoja1!N252</f>
        <v>0</v>
      </c>
    </row>
    <row r="161" spans="5:10" hidden="1">
      <c r="E161" s="99">
        <f>Hoja1!M253</f>
        <v>0</v>
      </c>
      <c r="F161">
        <f>Hoja1!O253</f>
        <v>0</v>
      </c>
      <c r="H161" t="str">
        <f t="shared" si="3"/>
        <v>00</v>
      </c>
      <c r="J161">
        <f>Hoja1!N253</f>
        <v>0</v>
      </c>
    </row>
    <row r="162" spans="5:10" hidden="1">
      <c r="E162" s="99">
        <f>Hoja1!M254</f>
        <v>0</v>
      </c>
      <c r="F162">
        <f>Hoja1!O254</f>
        <v>0</v>
      </c>
      <c r="H162" t="str">
        <f t="shared" si="3"/>
        <v>00</v>
      </c>
      <c r="J162">
        <f>Hoja1!N254</f>
        <v>0</v>
      </c>
    </row>
    <row r="163" spans="5:10" hidden="1">
      <c r="E163" s="99">
        <f>Hoja1!M255</f>
        <v>0</v>
      </c>
      <c r="F163">
        <f>Hoja1!O255</f>
        <v>0</v>
      </c>
      <c r="H163" t="str">
        <f t="shared" si="3"/>
        <v>00</v>
      </c>
      <c r="J163">
        <f>Hoja1!N255</f>
        <v>0</v>
      </c>
    </row>
    <row r="164" spans="5:10" hidden="1">
      <c r="E164" s="99">
        <f>Hoja1!M256</f>
        <v>0</v>
      </c>
      <c r="F164">
        <f>Hoja1!O256</f>
        <v>0</v>
      </c>
      <c r="H164" t="str">
        <f t="shared" si="3"/>
        <v>00</v>
      </c>
      <c r="J164">
        <f>Hoja1!N256</f>
        <v>0</v>
      </c>
    </row>
    <row r="165" spans="5:10" hidden="1">
      <c r="E165" s="99">
        <f>Hoja1!M257</f>
        <v>0</v>
      </c>
      <c r="F165">
        <f>Hoja1!O257</f>
        <v>0</v>
      </c>
      <c r="H165" t="str">
        <f t="shared" si="3"/>
        <v>00</v>
      </c>
      <c r="J165">
        <f>Hoja1!N257</f>
        <v>0</v>
      </c>
    </row>
    <row r="166" spans="5:10" hidden="1">
      <c r="E166" s="99">
        <f>Hoja1!M258</f>
        <v>0</v>
      </c>
      <c r="F166">
        <f>Hoja1!O258</f>
        <v>0</v>
      </c>
      <c r="H166" t="str">
        <f t="shared" si="3"/>
        <v>00</v>
      </c>
      <c r="J166">
        <f>Hoja1!N258</f>
        <v>0</v>
      </c>
    </row>
    <row r="167" spans="5:10" hidden="1">
      <c r="E167" s="99">
        <f>Hoja1!M259</f>
        <v>0</v>
      </c>
      <c r="F167">
        <f>Hoja1!O259</f>
        <v>0</v>
      </c>
      <c r="H167" t="str">
        <f t="shared" si="3"/>
        <v>00</v>
      </c>
      <c r="J167">
        <f>Hoja1!N259</f>
        <v>0</v>
      </c>
    </row>
    <row r="168" spans="5:10" hidden="1">
      <c r="E168" s="99">
        <f>Hoja1!M260</f>
        <v>0</v>
      </c>
      <c r="F168">
        <f>Hoja1!O260</f>
        <v>0</v>
      </c>
      <c r="H168" t="str">
        <f t="shared" si="3"/>
        <v>00</v>
      </c>
      <c r="J168">
        <f>Hoja1!N260</f>
        <v>0</v>
      </c>
    </row>
  </sheetData>
  <autoFilter ref="E2:J168" xr:uid="{DDBD6F9B-C94A-476D-8C8D-9A374BB1739C}">
    <filterColumn colId="5">
      <filters>
        <filter val="11150000;11160000;27112800;14111507;44121708;60106207;60121226;31211900;31211906;31211500;60121001;601121200;44121618;60121518"/>
        <filter val="14111800"/>
        <filter val="43211500;43211507;43211508;43211600;_x000a_"/>
        <filter val="43232609; 43232300"/>
        <filter val="43232609;43232200"/>
        <filter val="43233200;_x000a_43222600;_x000a_81111500;_x000a_81111600;_x000a_81111800;"/>
        <filter val="49241700"/>
        <filter val="52161505;48101516 ;23201202"/>
        <filter val="55101524, 60102310, 55110000"/>
        <filter val="56101600; 56101603;56101602; 56101703;56112104;56112100;56101520"/>
        <filter val="56121900;82141602;56121902"/>
        <filter val="60101700; 60105800; 78101800; 78121500; 60121500; 60121200; 52161500"/>
        <filter val="60103702"/>
        <filter val="60103704"/>
        <filter val="70111503"/>
        <filter val="70131500, 77101700,77121500,77121600"/>
        <filter val="72101500; 81101500"/>
        <filter val="72101500;81101500"/>
        <filter val="72101500;81101500;72151500, 72151900"/>
        <filter val="72101500;81101500;72152900"/>
        <filter val="73171511;72151603;80161507"/>
        <filter val="76121600; 70151900; 70111700"/>
        <filter val="77121500"/>
        <filter val="77121700,70131500,70111700"/>
        <filter val="78111800;90111500;90101500"/>
        <filter val="80101500"/>
        <filter val="80111600"/>
        <filter val="80111600;85121608"/>
        <filter val="81101500"/>
        <filter val="81101500;80111600;80111614;80111617"/>
        <filter val="81111501"/>
        <filter val="81112005;80111600"/>
        <filter val="81112100"/>
        <filter val="81112209;81141902;81111812"/>
        <filter val="81112501"/>
        <filter val="82101500;82121500"/>
        <filter val="82121500"/>
        <filter val="82141500;73151905;82111904"/>
        <filter val="83101800;78181700;60101400;56121902"/>
        <filter val="85121607;85121608;80111600"/>
        <filter val="90101500;90101700;93131608"/>
        <filter val="90101600"/>
        <filter val="90101700; 90101600"/>
        <filter val="93131600;85151500"/>
        <filter val="93141700;80141900;56121902"/>
        <filter val="93141700;80141900;56121902_x000a_"/>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V7"/>
  <sheetViews>
    <sheetView workbookViewId="0"/>
  </sheetViews>
  <sheetFormatPr baseColWidth="10" defaultColWidth="11.42578125" defaultRowHeight="15"/>
  <cols>
    <col min="5" max="5" width="16.42578125" customWidth="1"/>
  </cols>
  <sheetData>
    <row r="1" spans="7:22">
      <c r="G1" s="1"/>
      <c r="U1" s="1"/>
      <c r="V1" s="1"/>
    </row>
    <row r="2" spans="7:22">
      <c r="G2" s="1"/>
      <c r="U2" s="1"/>
      <c r="V2" s="1"/>
    </row>
    <row r="3" spans="7:22">
      <c r="G3" s="1"/>
      <c r="U3" s="1"/>
      <c r="V3" s="1"/>
    </row>
    <row r="5" spans="7:22">
      <c r="G5" s="1"/>
      <c r="U5" s="1"/>
      <c r="V5" s="1"/>
    </row>
    <row r="6" spans="7:22">
      <c r="G6" s="1"/>
      <c r="U6" s="1"/>
      <c r="V6" s="1"/>
    </row>
    <row r="7" spans="7:22">
      <c r="G7" s="1"/>
      <c r="U7" s="1"/>
      <c r="V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UNIVERSIDAD PEDAGOGICA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DEISY YURLEY ROJAS NAVIA</dc:creator>
  <cp:keywords/>
  <dc:description/>
  <cp:lastModifiedBy>ANDRES FELIPE CASTILLO BECERRA</cp:lastModifiedBy>
  <cp:revision/>
  <dcterms:created xsi:type="dcterms:W3CDTF">2024-02-09T21:55:06Z</dcterms:created>
  <dcterms:modified xsi:type="dcterms:W3CDTF">2026-01-29T20:56:32Z</dcterms:modified>
  <cp:category/>
  <cp:contentStatus/>
</cp:coreProperties>
</file>